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societyofactuaries.sharepoint.com/sites/ALLSTAFF-Public/Shared Documents/Public/Aleshia/November 2025 Solutions/"/>
    </mc:Choice>
  </mc:AlternateContent>
  <xr:revisionPtr revIDLastSave="0" documentId="8_{593BCD0A-8003-494E-A887-A7BFF146B069}" xr6:coauthVersionLast="47" xr6:coauthVersionMax="47" xr10:uidLastSave="{00000000-0000-0000-0000-000000000000}"/>
  <bookViews>
    <workbookView xWindow="2325" yWindow="1350" windowWidth="20460" windowHeight="10770" firstSheet="3" activeTab="4" xr2:uid="{00000000-000D-0000-FFFF-FFFF00000000}"/>
  </bookViews>
  <sheets>
    <sheet name="Question 3 (a)" sheetId="19" r:id="rId1"/>
    <sheet name="Question 4 (c)" sheetId="20" r:id="rId2"/>
    <sheet name="Question 5 (a)" sheetId="21" r:id="rId3"/>
    <sheet name="Question 5 (b)" sheetId="22" r:id="rId4"/>
    <sheet name="Q6 Solution" sheetId="24" r:id="rId5"/>
    <sheet name="Question 7 (a)" sheetId="23" r:id="rId6"/>
  </sheets>
  <externalReferences>
    <externalReference r:id="rId7"/>
    <externalReference r:id="rId8"/>
  </externalReferences>
  <definedNames>
    <definedName name="CognitiveLevels">'[1]syllabus list'!$B$90:$B$93</definedName>
    <definedName name="LOutcomeList">'[1]syllabus list'!$A$90:$A$94</definedName>
    <definedName name="Q_sources">#REF!</definedName>
    <definedName name="SourceList">[2]Lookups!$B$2:$B$47</definedName>
    <definedName name="SyllabusListing">'[1]syllabus list'!$B$4:$B$60</definedName>
    <definedName name="Year">[1]Instructions!$E$2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J2" i="24" l="1"/>
  <c r="J3" i="24"/>
  <c r="B14" i="24"/>
  <c r="H14" i="24" s="1"/>
  <c r="I14" i="24" s="1"/>
  <c r="C14" i="24"/>
  <c r="E14" i="24" s="1"/>
  <c r="D14" i="24"/>
  <c r="G14" i="24"/>
  <c r="A15" i="24"/>
  <c r="A16" i="24" s="1"/>
  <c r="B15" i="24"/>
  <c r="D15" i="24" s="1"/>
  <c r="C15" i="24"/>
  <c r="G15" i="24"/>
  <c r="C16" i="24"/>
  <c r="G16" i="24"/>
  <c r="C17" i="24"/>
  <c r="G17" i="24"/>
  <c r="C18" i="24"/>
  <c r="G18" i="24"/>
  <c r="C19" i="24"/>
  <c r="G19" i="24"/>
  <c r="C20" i="24"/>
  <c r="G20" i="24"/>
  <c r="C21" i="24"/>
  <c r="G21" i="24"/>
  <c r="C22" i="24"/>
  <c r="G22" i="24"/>
  <c r="C23" i="24"/>
  <c r="G23" i="24"/>
  <c r="G24" i="24"/>
  <c r="G25" i="24"/>
  <c r="G26" i="24"/>
  <c r="G27" i="24"/>
  <c r="G28" i="24"/>
  <c r="G29" i="24"/>
  <c r="G30" i="24"/>
  <c r="G31" i="24"/>
  <c r="G32" i="24"/>
  <c r="G33" i="24"/>
  <c r="C35" i="23"/>
  <c r="C38" i="23"/>
  <c r="C39" i="23"/>
  <c r="C40" i="23"/>
  <c r="C41" i="23" s="1"/>
  <c r="B45" i="23" s="1"/>
  <c r="C48" i="23"/>
  <c r="C49" i="23"/>
  <c r="C52" i="23"/>
  <c r="C53" i="23"/>
  <c r="C56" i="23"/>
  <c r="C57" i="23"/>
  <c r="C58" i="23"/>
  <c r="C59" i="23" s="1"/>
  <c r="B61" i="23" s="1"/>
  <c r="B16" i="24" l="1"/>
  <c r="A17" i="24"/>
  <c r="H15" i="24"/>
  <c r="I15" i="24" s="1"/>
  <c r="E15" i="24"/>
  <c r="B35" i="22"/>
  <c r="B36" i="22" s="1"/>
  <c r="C35" i="22"/>
  <c r="C36" i="22"/>
  <c r="C37" i="22"/>
  <c r="B38" i="22"/>
  <c r="C38" i="22"/>
  <c r="C39" i="22"/>
  <c r="B40" i="22"/>
  <c r="C40" i="22"/>
  <c r="C41" i="22"/>
  <c r="C55" i="22" s="1"/>
  <c r="B44" i="22"/>
  <c r="C44" i="22"/>
  <c r="B45" i="22"/>
  <c r="C45" i="22"/>
  <c r="B46" i="22"/>
  <c r="C46" i="22"/>
  <c r="B47" i="22"/>
  <c r="B53" i="22" s="1"/>
  <c r="C47" i="22"/>
  <c r="C53" i="22" s="1"/>
  <c r="B48" i="22"/>
  <c r="C48" i="22"/>
  <c r="B49" i="22"/>
  <c r="C49" i="22"/>
  <c r="B50" i="22"/>
  <c r="C50" i="22"/>
  <c r="B51" i="22"/>
  <c r="C51" i="22"/>
  <c r="B52" i="22"/>
  <c r="C52" i="22"/>
  <c r="B35" i="21"/>
  <c r="C51" i="21" s="1"/>
  <c r="C35" i="21"/>
  <c r="C36" i="21"/>
  <c r="C37" i="21" s="1"/>
  <c r="C40" i="21" s="1"/>
  <c r="B38" i="21"/>
  <c r="C38" i="21"/>
  <c r="C39" i="21"/>
  <c r="B43" i="21"/>
  <c r="C44" i="21" s="1"/>
  <c r="C43" i="21"/>
  <c r="B44" i="21"/>
  <c r="B46" i="21"/>
  <c r="C46" i="21"/>
  <c r="B47" i="21"/>
  <c r="C47" i="21"/>
  <c r="B48" i="21"/>
  <c r="C48" i="21"/>
  <c r="B49" i="21"/>
  <c r="C49" i="21"/>
  <c r="B50" i="21"/>
  <c r="C50" i="21"/>
  <c r="B51" i="21"/>
  <c r="A18" i="24" l="1"/>
  <c r="B17" i="24"/>
  <c r="D16" i="24"/>
  <c r="H16" i="24"/>
  <c r="I16" i="24" s="1"/>
  <c r="B39" i="22"/>
  <c r="B37" i="22"/>
  <c r="B41" i="22" s="1"/>
  <c r="B55" i="22" s="1"/>
  <c r="C54" i="21"/>
  <c r="C45" i="21"/>
  <c r="C52" i="21" s="1"/>
  <c r="B37" i="21"/>
  <c r="B40" i="21" s="1"/>
  <c r="B54" i="21" s="1"/>
  <c r="B45" i="21"/>
  <c r="B52" i="21" s="1"/>
  <c r="B36" i="21"/>
  <c r="B39" i="21" s="1"/>
  <c r="E16" i="24" l="1"/>
  <c r="H17" i="24"/>
  <c r="I17" i="24" s="1"/>
  <c r="D17" i="24"/>
  <c r="E17" i="24" s="1"/>
  <c r="B18" i="24"/>
  <c r="A19" i="24"/>
  <c r="H31" i="20"/>
  <c r="J31" i="20" s="1"/>
  <c r="N31" i="20" s="1"/>
  <c r="I31" i="20"/>
  <c r="M31" i="20"/>
  <c r="H32" i="20"/>
  <c r="J32" i="20" s="1"/>
  <c r="N32" i="20" s="1"/>
  <c r="I32" i="20"/>
  <c r="M32" i="20" s="1"/>
  <c r="H33" i="20"/>
  <c r="I33" i="20"/>
  <c r="J33" i="20"/>
  <c r="N33" i="20" s="1"/>
  <c r="M33" i="20"/>
  <c r="H39" i="20"/>
  <c r="I39" i="20"/>
  <c r="J39" i="20"/>
  <c r="M39" i="20"/>
  <c r="N39" i="20"/>
  <c r="H40" i="20"/>
  <c r="N40" i="20" s="1"/>
  <c r="I40" i="20"/>
  <c r="J40" i="20"/>
  <c r="M40" i="20"/>
  <c r="H41" i="20"/>
  <c r="I41" i="20"/>
  <c r="J41" i="20"/>
  <c r="M41" i="20"/>
  <c r="N41" i="20" s="1"/>
  <c r="H47" i="20"/>
  <c r="J47" i="20" s="1"/>
  <c r="I47" i="20"/>
  <c r="M47" i="20"/>
  <c r="H48" i="20"/>
  <c r="N48" i="20" s="1"/>
  <c r="I48" i="20"/>
  <c r="J48" i="20"/>
  <c r="M48" i="20"/>
  <c r="H49" i="20"/>
  <c r="I49" i="20"/>
  <c r="J49" i="20" s="1"/>
  <c r="M49" i="20"/>
  <c r="N49" i="20"/>
  <c r="A20" i="24" l="1"/>
  <c r="B19" i="24"/>
  <c r="D18" i="24"/>
  <c r="E18" i="24" s="1"/>
  <c r="H18" i="24"/>
  <c r="N47" i="20"/>
  <c r="B26" i="19"/>
  <c r="C26" i="19" s="1"/>
  <c r="D26" i="19" s="1"/>
  <c r="B27" i="19"/>
  <c r="B25" i="19"/>
  <c r="G25" i="19"/>
  <c r="B24" i="19"/>
  <c r="C24" i="19"/>
  <c r="D24" i="19"/>
  <c r="D23" i="19"/>
  <c r="D25" i="19" s="1"/>
  <c r="E23" i="19"/>
  <c r="E24" i="19" s="1"/>
  <c r="F23" i="19"/>
  <c r="F24" i="19" s="1"/>
  <c r="G23" i="19"/>
  <c r="G24" i="19" s="1"/>
  <c r="C23" i="19"/>
  <c r="C25" i="19" s="1"/>
  <c r="B23" i="19"/>
  <c r="I18" i="24" l="1"/>
  <c r="D19" i="24"/>
  <c r="H19" i="24"/>
  <c r="I19" i="24" s="1"/>
  <c r="B20" i="24"/>
  <c r="A21" i="24"/>
  <c r="C27" i="19"/>
  <c r="D27" i="19" s="1"/>
  <c r="E26" i="19"/>
  <c r="F26" i="19" s="1"/>
  <c r="G26" i="19" s="1"/>
  <c r="E32" i="19" s="1"/>
  <c r="F25" i="19"/>
  <c r="E25" i="19"/>
  <c r="B21" i="24" l="1"/>
  <c r="A22" i="24"/>
  <c r="D20" i="24"/>
  <c r="E20" i="24" s="1"/>
  <c r="H20" i="24"/>
  <c r="I20" i="24" s="1"/>
  <c r="E19" i="24"/>
  <c r="E27" i="19"/>
  <c r="A23" i="24" l="1"/>
  <c r="B22" i="24"/>
  <c r="D21" i="24"/>
  <c r="E21" i="24" s="1"/>
  <c r="H21" i="24"/>
  <c r="I21" i="24" s="1"/>
  <c r="F27" i="19"/>
  <c r="G27" i="19" s="1"/>
  <c r="E33" i="19" s="1"/>
  <c r="B23" i="24" l="1"/>
  <c r="A24" i="24"/>
  <c r="D22" i="24"/>
  <c r="E22" i="24" s="1"/>
  <c r="H22" i="24"/>
  <c r="I22" i="24" s="1"/>
  <c r="D23" i="24" l="1"/>
  <c r="H23" i="24"/>
  <c r="I23" i="24" s="1"/>
  <c r="A25" i="24"/>
  <c r="B24" i="24"/>
  <c r="H24" i="24" s="1"/>
  <c r="I24" i="24"/>
  <c r="B25" i="24" l="1"/>
  <c r="H25" i="24" s="1"/>
  <c r="I25" i="24" s="1"/>
  <c r="A26" i="24"/>
  <c r="D8" i="24"/>
  <c r="E23" i="24"/>
  <c r="D9" i="24" s="1"/>
  <c r="D10" i="24" s="1"/>
  <c r="D11" i="24" l="1"/>
  <c r="O11" i="24"/>
  <c r="B26" i="24"/>
  <c r="H26" i="24" s="1"/>
  <c r="I26" i="24"/>
  <c r="A27" i="24"/>
  <c r="A28" i="24" l="1"/>
  <c r="B27" i="24"/>
  <c r="H27" i="24" s="1"/>
  <c r="I27" i="24"/>
  <c r="B28" i="24" l="1"/>
  <c r="H28" i="24" s="1"/>
  <c r="I28" i="24" s="1"/>
  <c r="A29" i="24"/>
  <c r="B29" i="24" l="1"/>
  <c r="H29" i="24" s="1"/>
  <c r="I29" i="24" s="1"/>
  <c r="A30" i="24"/>
  <c r="I30" i="24" l="1"/>
  <c r="A31" i="24"/>
  <c r="B30" i="24"/>
  <c r="H30" i="24" s="1"/>
  <c r="B31" i="24" l="1"/>
  <c r="H31" i="24" s="1"/>
  <c r="I31" i="24"/>
  <c r="A32" i="24"/>
  <c r="B32" i="24" l="1"/>
  <c r="H32" i="24" s="1"/>
  <c r="I32" i="24" s="1"/>
  <c r="A33" i="24"/>
  <c r="B33" i="24" l="1"/>
  <c r="H33" i="24" s="1"/>
  <c r="H8" i="24" s="1"/>
  <c r="I33" i="24" l="1"/>
  <c r="H9" i="24" s="1"/>
  <c r="H10" i="24" s="1"/>
  <c r="H11" i="24" l="1"/>
  <c r="O12" i="24"/>
  <c r="P14" i="24" s="1"/>
  <c r="P15" i="24" s="1"/>
</calcChain>
</file>

<file path=xl/sharedStrings.xml><?xml version="1.0" encoding="utf-8"?>
<sst xmlns="http://schemas.openxmlformats.org/spreadsheetml/2006/main" count="300" uniqueCount="179">
  <si>
    <t>ANSWER:</t>
  </si>
  <si>
    <t>Show work below</t>
  </si>
  <si>
    <t>Question 3 (a)</t>
  </si>
  <si>
    <t xml:space="preserve">Your company is developing a fixed indexed annuity and is considering two different designs. </t>
  </si>
  <si>
    <t xml:space="preserve">You are given the following information: </t>
  </si>
  <si>
    <t>Year</t>
  </si>
  <si>
    <t>Index Value</t>
  </si>
  <si>
    <t>Starting Contract Fund Value</t>
  </si>
  <si>
    <t>3 (a)</t>
  </si>
  <si>
    <t>i. Fund value at the end of the 5th year for 5% cap, 0% floor</t>
  </si>
  <si>
    <t>ii. Fund value at the end of the 5th year for 75% participation rate, 0% floor</t>
  </si>
  <si>
    <t>Responses for parts (b) and (c) are to be provided in the Word document.</t>
  </si>
  <si>
    <r>
      <t xml:space="preserve">(a) </t>
    </r>
    <r>
      <rPr>
        <i/>
        <sz val="12"/>
        <color theme="1"/>
        <rFont val="Times New Roman"/>
        <family val="1"/>
      </rPr>
      <t>(2 points)</t>
    </r>
    <r>
      <rPr>
        <sz val="12"/>
        <color theme="1"/>
        <rFont val="Times New Roman"/>
        <family val="1"/>
      </rPr>
      <t xml:space="preserve"> Calculate the fund values at the end of the fifth year for the following designs:</t>
    </r>
  </si>
  <si>
    <r>
      <t xml:space="preserve">(i) </t>
    </r>
    <r>
      <rPr>
        <i/>
        <sz val="12"/>
        <color theme="1"/>
        <rFont val="Times New Roman"/>
        <family val="1"/>
      </rPr>
      <t>(1 point)</t>
    </r>
    <r>
      <rPr>
        <sz val="12"/>
        <color theme="1"/>
        <rFont val="Times New Roman"/>
        <family val="1"/>
      </rPr>
      <t xml:space="preserve"> 5% cap, 0% floor</t>
    </r>
  </si>
  <si>
    <r>
      <t xml:space="preserve">(ii) </t>
    </r>
    <r>
      <rPr>
        <i/>
        <sz val="12"/>
        <color theme="1"/>
        <rFont val="Times New Roman"/>
        <family val="1"/>
      </rPr>
      <t>(1 point)</t>
    </r>
    <r>
      <rPr>
        <sz val="12"/>
        <color theme="1"/>
        <rFont val="Times New Roman"/>
        <family val="1"/>
      </rPr>
      <t xml:space="preserve"> 75% participation rate, 0% floor</t>
    </r>
  </si>
  <si>
    <t>Index Returns</t>
  </si>
  <si>
    <t>Credited Rate (Design 2):</t>
  </si>
  <si>
    <t>Credited Rate (Design 1):</t>
  </si>
  <si>
    <t>Design 1 Credited Rate = MAX(FLOOR,MIN(CAP,ACTUAL RETURN)) =MAX(0,MIN(5%,B23))</t>
  </si>
  <si>
    <t>Design 2 Credited Rate = MAX(FLOOR,ACTUAL RETURN * PARTICIPATION RATE) =  MAX(0,B23*0.75)</t>
  </si>
  <si>
    <t>Fund Value (Design 1):</t>
  </si>
  <si>
    <t>Fund Value (Design 2):</t>
  </si>
  <si>
    <t>Fails at age 69</t>
  </si>
  <si>
    <t>Fail</t>
  </si>
  <si>
    <t>Policy + Rider 3 (Pass/Fail)</t>
  </si>
  <si>
    <t>Pass for all ages</t>
  </si>
  <si>
    <t>Pass</t>
  </si>
  <si>
    <t>Policy + Rider 2 (Pass/Fail)</t>
  </si>
  <si>
    <t>Policy + Rider 1 (Pass/Fail)</t>
  </si>
  <si>
    <t>Comments</t>
  </si>
  <si>
    <t>Alternative Solution when rider premium is not multiplied by face/1000</t>
  </si>
  <si>
    <t>CVAT Test</t>
  </si>
  <si>
    <t>CVAT NSP</t>
  </si>
  <si>
    <t>Cash Surrender Value for CVAT</t>
  </si>
  <si>
    <t>Present value of the expected premiums for Rider 3</t>
  </si>
  <si>
    <t>Present value of the expected premiums for Rider 2</t>
  </si>
  <si>
    <t>Present value of the expected premiums for Rider 1</t>
  </si>
  <si>
    <t>Guaranteed Surrender Charge per 1,000 of Death Benefit</t>
  </si>
  <si>
    <t>Cash Value Per 1,000 of Death Benefit</t>
  </si>
  <si>
    <t>CVAT Net Single Premiums for a 1,000 Whole Life Policy</t>
  </si>
  <si>
    <t>Attained Age</t>
  </si>
  <si>
    <t>(iii) WL with rider 3 - spouse term life insurnace rider is QAB</t>
  </si>
  <si>
    <t>(ii) WL with rider 2 - accidental death benefit rider is QAB</t>
  </si>
  <si>
    <t>If QAB charge is not adjusted by face amount / 1000</t>
  </si>
  <si>
    <t>Death Benefits + QAB charges</t>
  </si>
  <si>
    <t>CSV</t>
  </si>
  <si>
    <t>Rider Charge (QAB)</t>
  </si>
  <si>
    <t>Rider Charge (not QAB)</t>
  </si>
  <si>
    <t>CVAT NSP is PV death benefits</t>
  </si>
  <si>
    <t>(i) WL with rider 1 - Hospital indemnity benefit is not QAB</t>
  </si>
  <si>
    <t>Alternative Solution</t>
  </si>
  <si>
    <t>CVAT test checks whether the contract’s CSV will never exceed the PV of future benefits. Where CSV should be gross of surrender charge, and future benefits include death benefits, endowment benefits, and charges for QAB but not QAB benefits. For this whole life policy, there are no endowment benefits. PV of future benefits is essentially the CVAT net single premium (NSP). As such comparing NSP + QAB charge with CV at each age would be sufficient to determine the test results.</t>
  </si>
  <si>
    <r>
      <rPr>
        <sz val="11"/>
        <color theme="1"/>
        <rFont val="Times New Roman"/>
        <family val="1"/>
      </rPr>
      <t>(iii)</t>
    </r>
    <r>
      <rPr>
        <sz val="7"/>
        <color theme="1"/>
        <rFont val="Times New Roman"/>
        <family val="1"/>
      </rPr>
      <t xml:space="preserve">     </t>
    </r>
    <r>
      <rPr>
        <sz val="11"/>
        <color theme="1"/>
        <rFont val="Times New Roman"/>
        <family val="1"/>
      </rPr>
      <t>Whole life policy with rider 3</t>
    </r>
  </si>
  <si>
    <r>
      <rPr>
        <sz val="11"/>
        <color theme="1"/>
        <rFont val="Times New Roman"/>
        <family val="1"/>
      </rPr>
      <t>(ii)</t>
    </r>
    <r>
      <rPr>
        <sz val="7"/>
        <color theme="1"/>
        <rFont val="Times New Roman"/>
        <family val="1"/>
      </rPr>
      <t xml:space="preserve">      </t>
    </r>
    <r>
      <rPr>
        <sz val="11"/>
        <color theme="1"/>
        <rFont val="Times New Roman"/>
        <family val="1"/>
      </rPr>
      <t>Whole life policy with rider 2</t>
    </r>
  </si>
  <si>
    <r>
      <rPr>
        <sz val="11"/>
        <color theme="1"/>
        <rFont val="Times New Roman"/>
        <family val="1"/>
      </rPr>
      <t>(i)</t>
    </r>
    <r>
      <rPr>
        <sz val="7"/>
        <color theme="1"/>
        <rFont val="Times New Roman"/>
        <family val="1"/>
      </rPr>
      <t xml:space="preserve">    </t>
    </r>
    <r>
      <rPr>
        <sz val="11"/>
        <color theme="1"/>
        <rFont val="Times New Roman"/>
        <family val="1"/>
      </rPr>
      <t>Whole life policy with rider 1</t>
    </r>
  </si>
  <si>
    <r>
      <t xml:space="preserve">(c)	  </t>
    </r>
    <r>
      <rPr>
        <i/>
        <sz val="12"/>
        <color theme="1"/>
        <rFont val="Times New Roman"/>
        <family val="1"/>
      </rPr>
      <t>(3 points)</t>
    </r>
    <r>
      <rPr>
        <sz val="12"/>
        <color theme="1"/>
        <rFont val="Times New Roman"/>
        <family val="1"/>
      </rPr>
      <t xml:space="preserve">  Assess whether each of the following passes the cash value accumulation test. Show your work.</t>
    </r>
  </si>
  <si>
    <t>The riders do not change the cash surrender value of the whole life policy.</t>
  </si>
  <si>
    <t>·         Rider 3: 50,000 spouse term life insurance that terminates at spouse’s age 100</t>
  </si>
  <si>
    <t>·         Rider 2: 50,000 accidental death benefit rider that terminates at age 70</t>
  </si>
  <si>
    <t>·         Rider 1: Hospital indemnity plan that pays 500 per day for qualifying confinements in a hospital or care facility that terminates at age 70</t>
  </si>
  <si>
    <t xml:space="preserve">  The policy and any applicable riders are intended to qualify as life insurance using the cash value accumulation test.  The deemed maturity age for cash value accumulation net single premiums is 121. You are evaluating the following riders:</t>
  </si>
  <si>
    <t>Information for a whole life policy with a face amount of 50,000 is provided below.</t>
  </si>
  <si>
    <t>Question 4 (c)</t>
  </si>
  <si>
    <t>Responses for part (c) are to be provided in the Word document.</t>
  </si>
  <si>
    <t>Second-year gain:</t>
  </si>
  <si>
    <t>Total Benefit and Expense</t>
  </si>
  <si>
    <t>Premium Tax</t>
  </si>
  <si>
    <t>Maintenance Expenses</t>
  </si>
  <si>
    <t>Commissions</t>
  </si>
  <si>
    <t>Net Reserve Increase</t>
  </si>
  <si>
    <t xml:space="preserve">  Ceded Reserve Increase</t>
  </si>
  <si>
    <t xml:space="preserve">  Gross Reserve Increase</t>
  </si>
  <si>
    <t>Net Claims</t>
  </si>
  <si>
    <t xml:space="preserve">  Ceded Claims</t>
  </si>
  <si>
    <t xml:space="preserve">  Gross Claims</t>
  </si>
  <si>
    <t>Total Benefit and Expense (thousands):</t>
  </si>
  <si>
    <t>Total Revenue</t>
  </si>
  <si>
    <t>Expense Allowances</t>
  </si>
  <si>
    <t>Investment Income</t>
  </si>
  <si>
    <t>Net Premium</t>
  </si>
  <si>
    <t xml:space="preserve">  Ceded Premium</t>
  </si>
  <si>
    <t xml:space="preserve">  Gross Premium</t>
  </si>
  <si>
    <t xml:space="preserve">Commissions based on gross premium including policy fee </t>
  </si>
  <si>
    <t>Total Revenue (thousands):</t>
  </si>
  <si>
    <t>(a)</t>
  </si>
  <si>
    <r>
      <t>(a) (</t>
    </r>
    <r>
      <rPr>
        <i/>
        <sz val="12"/>
        <color theme="1"/>
        <rFont val="Times New Roman"/>
        <family val="1"/>
      </rPr>
      <t>3 Points</t>
    </r>
    <r>
      <rPr>
        <sz val="12"/>
        <color theme="1"/>
        <rFont val="Times New Roman"/>
        <family val="1"/>
      </rPr>
      <t xml:space="preserve">) Calculate the second-year gain from operations under a 75% quota share coinsurance agreement. </t>
    </r>
  </si>
  <si>
    <t>Year 2+:   5%</t>
  </si>
  <si>
    <t>Year 1:    90%</t>
  </si>
  <si>
    <t>Expense Allowance</t>
  </si>
  <si>
    <t>Ceded Premium Tax</t>
  </si>
  <si>
    <t>Ceded Policy Fee</t>
  </si>
  <si>
    <t>You are also given the following information related to any reinsurance agreement.</t>
  </si>
  <si>
    <t>Surrender Claims</t>
  </si>
  <si>
    <t>Death Claims</t>
  </si>
  <si>
    <t>Reserve</t>
  </si>
  <si>
    <t>You are also given the following projections for the first 3 policy years (in thousands):</t>
  </si>
  <si>
    <t>600 Million</t>
  </si>
  <si>
    <t>Face Amount in force at End of Year 1</t>
  </si>
  <si>
    <t>Surplus at End of Year 1</t>
  </si>
  <si>
    <t xml:space="preserve">Year 3+: 0% </t>
  </si>
  <si>
    <t>Year 2: 10%</t>
  </si>
  <si>
    <t>Year 1: 50%</t>
  </si>
  <si>
    <t xml:space="preserve">Commissions </t>
  </si>
  <si>
    <t>Earned Rate</t>
  </si>
  <si>
    <t>Maintenance Expense</t>
  </si>
  <si>
    <t>Annual Policy Fee</t>
  </si>
  <si>
    <t>7 per 1000</t>
  </si>
  <si>
    <t>Premium</t>
  </si>
  <si>
    <t>You are given the following information on a block of whole life business. The whole life policies provide cash values and allow for policy loans.</t>
  </si>
  <si>
    <t>Question 5 (a)</t>
  </si>
  <si>
    <t>Mod-co Adjustment</t>
  </si>
  <si>
    <t>(b)</t>
  </si>
  <si>
    <r>
      <t>(b) (</t>
    </r>
    <r>
      <rPr>
        <i/>
        <sz val="12"/>
        <color theme="1"/>
        <rFont val="Times New Roman"/>
        <family val="1"/>
      </rPr>
      <t>3 Points</t>
    </r>
    <r>
      <rPr>
        <sz val="12"/>
        <color theme="1"/>
        <rFont val="Times New Roman"/>
        <family val="1"/>
      </rPr>
      <t xml:space="preserve">) Calculate the second-year gain from operations under a mod-co agreement using a mod-co interest rate of 4%. </t>
    </r>
  </si>
  <si>
    <t>Question 5 (b)</t>
  </si>
  <si>
    <t>Responses for part (b) are to be provided in the Word document.</t>
  </si>
  <si>
    <t>Reserve (FPT):</t>
  </si>
  <si>
    <t>Reserve (t=2)=</t>
  </si>
  <si>
    <t>PV(DB)-PV(P)=</t>
  </si>
  <si>
    <t>PV(P)=</t>
  </si>
  <si>
    <t>PV(DB)=</t>
  </si>
  <si>
    <t>Step 3: Calculate reserve at t=2</t>
  </si>
  <si>
    <t>0 &lt; t &lt; 10</t>
  </si>
  <si>
    <t>P=</t>
  </si>
  <si>
    <t>PE=</t>
  </si>
  <si>
    <t>Step 2: Calculate net premium</t>
  </si>
  <si>
    <t>FPT expense allowance=</t>
  </si>
  <si>
    <t>1st yr cost of insurance=</t>
  </si>
  <si>
    <t>Step 1: Calculate FPT expense allowance</t>
  </si>
  <si>
    <t>(a) ii)</t>
  </si>
  <si>
    <t>Reserve (NLP):</t>
  </si>
  <si>
    <t>Step 2: Calculate reserve at t=2</t>
  </si>
  <si>
    <t>Step 1: Calculate net level premium</t>
  </si>
  <si>
    <t>(a) i)</t>
  </si>
  <si>
    <r>
      <t xml:space="preserve">(ii)	</t>
    </r>
    <r>
      <rPr>
        <i/>
        <sz val="12"/>
        <color theme="1"/>
        <rFont val="Times New Roman"/>
        <family val="1"/>
      </rPr>
      <t xml:space="preserve"> (2 points) </t>
    </r>
    <r>
      <rPr>
        <sz val="12"/>
        <color theme="1"/>
        <rFont val="Times New Roman"/>
        <family val="1"/>
      </rPr>
      <t xml:space="preserve">Calculate the reserve at the end of policy year 2 using the Full Preliminary Term (FPT) reserve method. </t>
    </r>
  </si>
  <si>
    <r>
      <t xml:space="preserve">(i)	 </t>
    </r>
    <r>
      <rPr>
        <i/>
        <sz val="12"/>
        <color theme="1"/>
        <rFont val="Times New Roman"/>
        <family val="1"/>
      </rPr>
      <t xml:space="preserve">(2 points) </t>
    </r>
    <r>
      <rPr>
        <sz val="12"/>
        <color theme="1"/>
        <rFont val="Times New Roman"/>
        <family val="1"/>
      </rPr>
      <t>Calculate the reserve at the end of policy year 2 using the Net Level Premium (NLP) reserve method.</t>
    </r>
  </si>
  <si>
    <r>
      <t xml:space="preserve">(a) </t>
    </r>
    <r>
      <rPr>
        <i/>
        <sz val="12"/>
        <color theme="1"/>
        <rFont val="Times New Roman"/>
        <family val="1"/>
      </rPr>
      <t>(4 points)</t>
    </r>
  </si>
  <si>
    <t xml:space="preserve">                       = Actuarial present value of a life annuity due for attained age (x + t), payable for (10 - t) years</t>
  </si>
  <si>
    <t xml:space="preserve">                       = Actuarial present value of a term life level death benefit of 1,000 for attained age (x + t) with a term of (10 - t) years</t>
  </si>
  <si>
    <r>
      <rPr>
        <sz val="12"/>
        <color theme="1"/>
        <rFont val="Times New Roman"/>
        <family val="1"/>
      </rPr>
      <t>1,000 q</t>
    </r>
    <r>
      <rPr>
        <vertAlign val="subscript"/>
        <sz val="12"/>
        <color theme="1"/>
        <rFont val="Times New Roman"/>
        <family val="1"/>
      </rPr>
      <t>x+t</t>
    </r>
    <r>
      <rPr>
        <sz val="12"/>
        <color theme="1"/>
        <rFont val="Times New Roman"/>
        <family val="1"/>
      </rPr>
      <t xml:space="preserve"> = Mortality rate per 1,000 for attained age x + t</t>
    </r>
  </si>
  <si>
    <t>x  = issue age</t>
  </si>
  <si>
    <t>t = duration</t>
  </si>
  <si>
    <t xml:space="preserve">where: </t>
  </si>
  <si>
    <r>
      <t>1,000 q</t>
    </r>
    <r>
      <rPr>
        <vertAlign val="subscript"/>
        <sz val="12"/>
        <color theme="1"/>
        <rFont val="Times New Roman"/>
        <family val="1"/>
      </rPr>
      <t>x+t</t>
    </r>
  </si>
  <si>
    <t>t</t>
  </si>
  <si>
    <r>
      <t>·</t>
    </r>
    <r>
      <rPr>
        <sz val="7"/>
        <color theme="1"/>
        <rFont val="Times New Roman"/>
        <family val="1"/>
      </rPr>
      <t xml:space="preserve">         </t>
    </r>
    <r>
      <rPr>
        <sz val="12"/>
        <color theme="1"/>
        <rFont val="Times New Roman"/>
        <family val="1"/>
      </rPr>
      <t>The statutory valuation rate is 4%.</t>
    </r>
  </si>
  <si>
    <r>
      <t>·</t>
    </r>
    <r>
      <rPr>
        <sz val="7"/>
        <color theme="1"/>
        <rFont val="Times New Roman"/>
        <family val="1"/>
      </rPr>
      <t xml:space="preserve">         </t>
    </r>
    <r>
      <rPr>
        <sz val="12"/>
        <color theme="1"/>
        <rFont val="Times New Roman"/>
        <family val="1"/>
      </rPr>
      <t>There is no cash surrender value.</t>
    </r>
  </si>
  <si>
    <r>
      <t>·</t>
    </r>
    <r>
      <rPr>
        <sz val="7"/>
        <color theme="1"/>
        <rFont val="Times New Roman"/>
        <family val="1"/>
      </rPr>
      <t xml:space="preserve">         </t>
    </r>
    <r>
      <rPr>
        <sz val="12"/>
        <color theme="1"/>
        <rFont val="Times New Roman"/>
        <family val="1"/>
      </rPr>
      <t>After 10 years the policy expires with no maturity benefit.</t>
    </r>
  </si>
  <si>
    <r>
      <t>·</t>
    </r>
    <r>
      <rPr>
        <sz val="7"/>
        <color theme="1"/>
        <rFont val="Times New Roman"/>
        <family val="1"/>
      </rPr>
      <t xml:space="preserve">         </t>
    </r>
    <r>
      <rPr>
        <sz val="12"/>
        <color theme="1"/>
        <rFont val="Times New Roman"/>
        <family val="1"/>
      </rPr>
      <t>The death benefit of 50,000 is assumed to be paid at the end of the policy year.</t>
    </r>
  </si>
  <si>
    <r>
      <t>·</t>
    </r>
    <r>
      <rPr>
        <sz val="7"/>
        <color theme="1"/>
        <rFont val="Times New Roman"/>
        <family val="1"/>
      </rPr>
      <t xml:space="preserve">         </t>
    </r>
    <r>
      <rPr>
        <sz val="12"/>
        <color theme="1"/>
        <rFont val="Times New Roman"/>
        <family val="1"/>
      </rPr>
      <t>Premiums are level and paid at the beginning of each policy year.</t>
    </r>
  </si>
  <si>
    <t>You are given the following assumptions for a 10-year term policy:</t>
  </si>
  <si>
    <t>Question 7 (a)</t>
  </si>
  <si>
    <t>The goal is to make the average duration of the two bonds is close to 7.3</t>
  </si>
  <si>
    <t xml:space="preserve">*To determine the bond allocation candidates can use either a simple guess and check, goal seek or formula from the source material. </t>
  </si>
  <si>
    <t>Duration Mismatch</t>
  </si>
  <si>
    <t>Asset Duration</t>
  </si>
  <si>
    <t>t*Ct*vt</t>
  </si>
  <si>
    <t>Discount</t>
  </si>
  <si>
    <t>Cash Flow</t>
  </si>
  <si>
    <t>Bond Y</t>
  </si>
  <si>
    <t>Bond X</t>
  </si>
  <si>
    <t>Modified Duration</t>
  </si>
  <si>
    <t>Allocation</t>
  </si>
  <si>
    <t>Duration</t>
  </si>
  <si>
    <t>Macaulay Duration</t>
  </si>
  <si>
    <t>Sum 't*Ct*vt</t>
  </si>
  <si>
    <t>Target duration</t>
  </si>
  <si>
    <t>Price</t>
  </si>
  <si>
    <t>A duration matched portfolio with match the weighted duration of the assets to the liability</t>
  </si>
  <si>
    <t>AA</t>
  </si>
  <si>
    <t>Semi-Annual</t>
  </si>
  <si>
    <t>*This is a different method to calculate the price</t>
  </si>
  <si>
    <t>A</t>
  </si>
  <si>
    <t>Bond Price</t>
  </si>
  <si>
    <t>Credit Rating</t>
  </si>
  <si>
    <t>Maturity Value</t>
  </si>
  <si>
    <t>Yield to Maturity</t>
  </si>
  <si>
    <t>Term to Maturity (years)</t>
  </si>
  <si>
    <t>Coupon Frequency</t>
  </si>
  <si>
    <t>Annual Coupon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</si>
</sst>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3" formatCode="_(* #,##0.00_);_(* \(#,##0.00\);_(* &quot;-&quot;??_);_(@_)"/>
    <numFmt numFmtId="164" formatCode="_(* #,##0_);_(* \(#,##0\);_(* &quot;-&quot;??_);_(@_)"/>
    <numFmt numFmtId="165" formatCode="_(* #,##0.0_);_(* \(#,##0.0\);_(* &quot;-&quot;??_);_(@_)"/>
    <numFmt numFmtId="166" formatCode="0.0000"/>
    <numFmt numFmtId="167" formatCode="_-* #,##0.00_-;\-* #,##0.00_-;_-* &quot;-&quot;??_-;_-@_-"/>
  </numFmts>
  <fonts count="20" x14ac:knownFonts="1">
    <font>
      <sz val="11"/>
      <color theme="1"/>
      <name val="Calibri"/>
      <family val="2"/>
      <scheme val="minor"/>
    </font>
    <font>
      <sz val="11"/>
      <color theme="1"/>
      <name val="Calibri"/>
      <family val="2"/>
      <scheme val="minor"/>
    </font>
    <font>
      <b/>
      <sz val="12"/>
      <color theme="1"/>
      <name val="Times New Roman"/>
      <family val="1"/>
    </font>
    <font>
      <sz val="12"/>
      <color theme="1"/>
      <name val="Times New Roman"/>
      <family val="1"/>
    </font>
    <font>
      <b/>
      <sz val="14"/>
      <color theme="1"/>
      <name val="Times New Roman"/>
      <family val="1"/>
    </font>
    <font>
      <i/>
      <sz val="12"/>
      <color theme="1"/>
      <name val="Times New Roman"/>
      <family val="1"/>
    </font>
    <font>
      <sz val="10"/>
      <name val="Arial"/>
      <family val="2"/>
    </font>
    <font>
      <sz val="11"/>
      <color theme="1"/>
      <name val="Times New Roman"/>
      <family val="1"/>
    </font>
    <font>
      <i/>
      <sz val="11"/>
      <color theme="1"/>
      <name val="Times New Roman"/>
      <family val="1"/>
    </font>
    <font>
      <sz val="12"/>
      <color theme="1"/>
      <name val="Calibri"/>
      <family val="2"/>
      <scheme val="minor"/>
    </font>
    <font>
      <sz val="12"/>
      <color theme="1"/>
      <name val="Symbol"/>
      <family val="1"/>
      <charset val="2"/>
    </font>
    <font>
      <sz val="11"/>
      <color rgb="FFFF0000"/>
      <name val="Calibri"/>
      <family val="2"/>
      <scheme val="minor"/>
    </font>
    <font>
      <b/>
      <sz val="11"/>
      <color theme="1"/>
      <name val="Calibri"/>
      <family val="2"/>
      <scheme val="minor"/>
    </font>
    <font>
      <sz val="11"/>
      <color theme="1"/>
      <name val="Calibri"/>
      <family val="2"/>
    </font>
    <font>
      <b/>
      <sz val="12"/>
      <color theme="1"/>
      <name val="Calibri"/>
      <family val="2"/>
      <scheme val="minor"/>
    </font>
    <font>
      <i/>
      <sz val="11"/>
      <color theme="1"/>
      <name val="Calibri"/>
      <family val="2"/>
      <scheme val="minor"/>
    </font>
    <font>
      <sz val="7"/>
      <color theme="1"/>
      <name val="Times New Roman"/>
      <family val="1"/>
    </font>
    <font>
      <b/>
      <sz val="11"/>
      <color theme="1"/>
      <name val="Times New Roman"/>
      <family val="1"/>
    </font>
    <font>
      <b/>
      <i/>
      <sz val="11"/>
      <color theme="1"/>
      <name val="Times New Roman"/>
      <family val="1"/>
    </font>
    <font>
      <vertAlign val="subscript"/>
      <sz val="12"/>
      <color theme="1"/>
      <name val="Times New Roman"/>
      <family val="1"/>
    </font>
  </fonts>
  <fills count="6">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6" tint="0.59999389629810485"/>
        <bgColor indexed="64"/>
      </patternFill>
    </fill>
    <fill>
      <patternFill patternType="solid">
        <fgColor theme="7" tint="0.79998168889431442"/>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auto="1"/>
      </left>
      <right style="thin">
        <color auto="1"/>
      </right>
      <top style="thin">
        <color indexed="64"/>
      </top>
      <bottom style="thin">
        <color indexed="64"/>
      </bottom>
      <diagonal/>
    </border>
    <border>
      <left style="thin">
        <color auto="1"/>
      </left>
      <right style="thin">
        <color auto="1"/>
      </right>
      <top/>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medium">
        <color indexed="64"/>
      </top>
      <bottom style="medium">
        <color indexed="64"/>
      </bottom>
      <diagonal/>
    </border>
  </borders>
  <cellStyleXfs count="12">
    <xf numFmtId="0" fontId="0" fillId="0" borderId="0"/>
    <xf numFmtId="0" fontId="1" fillId="0" borderId="0"/>
    <xf numFmtId="9"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cellStyleXfs>
  <cellXfs count="119">
    <xf numFmtId="0" fontId="0" fillId="0" borderId="0" xfId="0"/>
    <xf numFmtId="0" fontId="3" fillId="0" borderId="0" xfId="0" applyFont="1" applyAlignment="1">
      <alignment vertical="center"/>
    </xf>
    <xf numFmtId="0" fontId="4" fillId="2" borderId="0" xfId="0" applyFont="1" applyFill="1" applyAlignment="1">
      <alignment vertical="center"/>
    </xf>
    <xf numFmtId="0" fontId="3" fillId="2" borderId="0" xfId="0" applyFont="1" applyFill="1" applyAlignment="1">
      <alignment vertical="center"/>
    </xf>
    <xf numFmtId="0" fontId="2" fillId="2" borderId="0" xfId="0" applyFont="1" applyFill="1"/>
    <xf numFmtId="0" fontId="7" fillId="2" borderId="0" xfId="0" applyFont="1" applyFill="1"/>
    <xf numFmtId="0" fontId="7" fillId="0" borderId="0" xfId="0" applyFont="1"/>
    <xf numFmtId="0" fontId="8" fillId="0" borderId="0" xfId="0" applyFont="1"/>
    <xf numFmtId="0" fontId="3" fillId="0" borderId="0" xfId="0" applyFont="1"/>
    <xf numFmtId="0" fontId="3" fillId="2" borderId="0" xfId="0" applyFont="1" applyFill="1"/>
    <xf numFmtId="3" fontId="3" fillId="2" borderId="0" xfId="1" applyNumberFormat="1" applyFont="1" applyFill="1"/>
    <xf numFmtId="0" fontId="2" fillId="2" borderId="1" xfId="0" applyFont="1" applyFill="1" applyBorder="1" applyAlignment="1">
      <alignment vertical="center"/>
    </xf>
    <xf numFmtId="0" fontId="7" fillId="0" borderId="0" xfId="0" applyFont="1" applyAlignment="1">
      <alignment horizontal="right"/>
    </xf>
    <xf numFmtId="0" fontId="10" fillId="2" borderId="0" xfId="0" applyFont="1" applyFill="1" applyAlignment="1">
      <alignment horizontal="left" vertical="center" indent="2"/>
    </xf>
    <xf numFmtId="0" fontId="3" fillId="2" borderId="1" xfId="0" quotePrefix="1" applyFont="1" applyFill="1" applyBorder="1" applyAlignment="1">
      <alignment horizontal="right" vertical="center" wrapText="1"/>
    </xf>
    <xf numFmtId="164" fontId="3" fillId="2" borderId="2" xfId="9" quotePrefix="1" applyNumberFormat="1" applyFont="1" applyFill="1" applyBorder="1" applyAlignment="1">
      <alignment horizontal="left" vertical="center" wrapText="1"/>
    </xf>
    <xf numFmtId="0" fontId="2" fillId="2" borderId="3" xfId="0" applyFont="1" applyFill="1" applyBorder="1" applyAlignment="1">
      <alignment vertical="center"/>
    </xf>
    <xf numFmtId="164" fontId="3" fillId="2" borderId="1" xfId="9" applyNumberFormat="1" applyFont="1" applyFill="1" applyBorder="1" applyAlignment="1">
      <alignment horizontal="right" vertical="center"/>
    </xf>
    <xf numFmtId="0" fontId="3" fillId="2" borderId="0" xfId="0" applyFont="1" applyFill="1" applyAlignment="1">
      <alignment horizontal="left" vertical="center" indent="3"/>
    </xf>
    <xf numFmtId="10" fontId="7" fillId="0" borderId="0" xfId="10" applyNumberFormat="1" applyFont="1"/>
    <xf numFmtId="43" fontId="7" fillId="0" borderId="0" xfId="9" applyFont="1"/>
    <xf numFmtId="43" fontId="7" fillId="0" borderId="1" xfId="0" applyNumberFormat="1" applyFont="1" applyBorder="1"/>
    <xf numFmtId="0" fontId="7" fillId="3" borderId="0" xfId="0" applyFont="1" applyFill="1"/>
    <xf numFmtId="0" fontId="0" fillId="3" borderId="0" xfId="0" applyFill="1"/>
    <xf numFmtId="0" fontId="7" fillId="0" borderId="2" xfId="0" applyFont="1" applyBorder="1"/>
    <xf numFmtId="0" fontId="7" fillId="0" borderId="4" xfId="0" applyFont="1" applyBorder="1"/>
    <xf numFmtId="0" fontId="7" fillId="0" borderId="5" xfId="0" applyFont="1" applyBorder="1"/>
    <xf numFmtId="0" fontId="12" fillId="0" borderId="0" xfId="0" applyFont="1"/>
    <xf numFmtId="0" fontId="7" fillId="0" borderId="0" xfId="0" applyFont="1" applyAlignment="1">
      <alignment horizontal="center"/>
    </xf>
    <xf numFmtId="0" fontId="0" fillId="0" borderId="0" xfId="0" applyAlignment="1">
      <alignment horizontal="center"/>
    </xf>
    <xf numFmtId="0" fontId="13" fillId="2" borderId="6" xfId="0" applyFont="1" applyFill="1" applyBorder="1" applyAlignment="1">
      <alignment horizontal="center" vertical="center" wrapText="1"/>
    </xf>
    <xf numFmtId="0" fontId="13" fillId="2" borderId="6" xfId="0" applyFont="1" applyFill="1" applyBorder="1" applyAlignment="1">
      <alignment vertical="center" wrapText="1"/>
    </xf>
    <xf numFmtId="0" fontId="14" fillId="2" borderId="7"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6" xfId="0" applyFont="1" applyFill="1" applyBorder="1" applyAlignment="1">
      <alignment horizontal="center" vertical="center" wrapText="1"/>
    </xf>
    <xf numFmtId="0" fontId="11" fillId="0" borderId="0" xfId="0" applyFont="1" applyAlignment="1">
      <alignment horizontal="center"/>
    </xf>
    <xf numFmtId="0" fontId="12" fillId="3" borderId="0" xfId="0" applyFont="1" applyFill="1"/>
    <xf numFmtId="0" fontId="15" fillId="0" borderId="0" xfId="0" applyFont="1"/>
    <xf numFmtId="0" fontId="3" fillId="2" borderId="0" xfId="0" applyFont="1" applyFill="1" applyAlignment="1">
      <alignment vertical="center" wrapText="1"/>
    </xf>
    <xf numFmtId="0" fontId="2" fillId="2" borderId="0" xfId="0" applyFont="1" applyFill="1" applyAlignment="1">
      <alignment vertical="center" wrapText="1"/>
    </xf>
    <xf numFmtId="0" fontId="16" fillId="2" borderId="0" xfId="0" applyFont="1" applyFill="1" applyAlignment="1">
      <alignment vertical="center"/>
    </xf>
    <xf numFmtId="0" fontId="7" fillId="2" borderId="0" xfId="0" applyFont="1" applyFill="1" applyAlignment="1">
      <alignment horizontal="left" vertical="center" indent="14"/>
    </xf>
    <xf numFmtId="0" fontId="13" fillId="2" borderId="0" xfId="0" applyFont="1" applyFill="1" applyAlignment="1">
      <alignment horizontal="center" vertical="center" wrapText="1"/>
    </xf>
    <xf numFmtId="0" fontId="13" fillId="2" borderId="0" xfId="0" applyFont="1" applyFill="1" applyAlignment="1">
      <alignment vertical="center" wrapText="1"/>
    </xf>
    <xf numFmtId="164" fontId="8" fillId="0" borderId="1" xfId="0" applyNumberFormat="1" applyFont="1" applyBorder="1"/>
    <xf numFmtId="0" fontId="17" fillId="0" borderId="0" xfId="0" applyFont="1"/>
    <xf numFmtId="164" fontId="3" fillId="0" borderId="8" xfId="9" applyNumberFormat="1" applyFont="1" applyBorder="1" applyAlignment="1">
      <alignment vertical="center" wrapText="1"/>
    </xf>
    <xf numFmtId="0" fontId="2" fillId="0" borderId="9" xfId="0" applyFont="1" applyBorder="1" applyAlignment="1">
      <alignment vertical="center" wrapText="1"/>
    </xf>
    <xf numFmtId="43" fontId="3" fillId="0" borderId="8" xfId="9" applyFont="1" applyBorder="1" applyAlignment="1">
      <alignment vertical="center" wrapText="1"/>
    </xf>
    <xf numFmtId="0" fontId="3" fillId="0" borderId="9" xfId="0" applyFont="1" applyBorder="1" applyAlignment="1">
      <alignment vertical="center" wrapText="1"/>
    </xf>
    <xf numFmtId="0" fontId="3" fillId="0" borderId="8" xfId="0" applyFont="1" applyBorder="1" applyAlignment="1">
      <alignment vertical="center" wrapText="1"/>
    </xf>
    <xf numFmtId="164" fontId="2" fillId="0" borderId="8" xfId="9" applyNumberFormat="1" applyFont="1" applyBorder="1" applyAlignment="1">
      <alignment vertical="center" wrapText="1"/>
    </xf>
    <xf numFmtId="165" fontId="3" fillId="0" borderId="8" xfId="9" applyNumberFormat="1"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3" fillId="4" borderId="0" xfId="0" applyFont="1" applyFill="1"/>
    <xf numFmtId="3" fontId="3" fillId="4" borderId="0" xfId="1" applyNumberFormat="1" applyFont="1" applyFill="1"/>
    <xf numFmtId="0" fontId="3" fillId="4" borderId="0" xfId="0" applyFont="1" applyFill="1" applyAlignment="1">
      <alignment vertical="center" wrapText="1"/>
    </xf>
    <xf numFmtId="3" fontId="3" fillId="4" borderId="0" xfId="0" applyNumberFormat="1" applyFont="1" applyFill="1" applyAlignment="1">
      <alignment vertical="center" wrapText="1"/>
    </xf>
    <xf numFmtId="0" fontId="3" fillId="4" borderId="0" xfId="0" applyFont="1" applyFill="1" applyAlignment="1">
      <alignment horizontal="center" vertical="center" wrapText="1"/>
    </xf>
    <xf numFmtId="10" fontId="3" fillId="4" borderId="0" xfId="0" applyNumberFormat="1" applyFont="1" applyFill="1" applyAlignment="1">
      <alignment horizontal="right" vertical="center" wrapText="1"/>
    </xf>
    <xf numFmtId="10" fontId="3" fillId="4" borderId="12" xfId="0" applyNumberFormat="1" applyFont="1" applyFill="1" applyBorder="1" applyAlignment="1">
      <alignment horizontal="right" vertical="center" wrapText="1"/>
    </xf>
    <xf numFmtId="0" fontId="3" fillId="4" borderId="2" xfId="0" applyFont="1" applyFill="1" applyBorder="1" applyAlignment="1">
      <alignment horizontal="center" vertical="center" wrapText="1"/>
    </xf>
    <xf numFmtId="3" fontId="3" fillId="4" borderId="13" xfId="0" applyNumberFormat="1" applyFont="1" applyFill="1" applyBorder="1" applyAlignment="1">
      <alignment horizontal="right"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right" vertical="center" wrapText="1"/>
    </xf>
    <xf numFmtId="0" fontId="3" fillId="4" borderId="4" xfId="0" applyFont="1" applyFill="1" applyBorder="1" applyAlignment="1">
      <alignment horizontal="center" vertical="center" wrapText="1"/>
    </xf>
    <xf numFmtId="0" fontId="3" fillId="4" borderId="15" xfId="0" applyFont="1" applyFill="1" applyBorder="1" applyAlignment="1">
      <alignment horizontal="right" vertical="center" wrapText="1"/>
    </xf>
    <xf numFmtId="0" fontId="3" fillId="4" borderId="1" xfId="0" applyFont="1" applyFill="1" applyBorder="1" applyAlignment="1">
      <alignment horizontal="center" vertical="center" wrapText="1"/>
    </xf>
    <xf numFmtId="0" fontId="3" fillId="4" borderId="12" xfId="0" applyFont="1" applyFill="1" applyBorder="1" applyAlignment="1">
      <alignment vertical="center" wrapText="1"/>
    </xf>
    <xf numFmtId="3" fontId="3" fillId="4" borderId="12" xfId="0" applyNumberFormat="1" applyFont="1" applyFill="1" applyBorder="1" applyAlignment="1">
      <alignment vertical="center" wrapText="1"/>
    </xf>
    <xf numFmtId="0" fontId="2" fillId="4" borderId="15" xfId="0" applyFont="1" applyFill="1" applyBorder="1" applyAlignment="1">
      <alignment vertical="center" wrapText="1"/>
    </xf>
    <xf numFmtId="0" fontId="2" fillId="4" borderId="1" xfId="0" applyFont="1" applyFill="1" applyBorder="1" applyAlignment="1">
      <alignment horizontal="center" vertical="center" wrapText="1"/>
    </xf>
    <xf numFmtId="0" fontId="3" fillId="4" borderId="0" xfId="0" applyFont="1" applyFill="1" applyAlignment="1">
      <alignment vertical="center"/>
    </xf>
    <xf numFmtId="9" fontId="3" fillId="4" borderId="0" xfId="0" applyNumberFormat="1" applyFont="1" applyFill="1" applyAlignment="1">
      <alignment horizontal="left" vertical="center" wrapText="1"/>
    </xf>
    <xf numFmtId="0" fontId="3" fillId="4" borderId="12" xfId="0" applyFont="1" applyFill="1" applyBorder="1" applyAlignment="1">
      <alignment horizontal="right" vertical="center" wrapText="1"/>
    </xf>
    <xf numFmtId="0" fontId="2" fillId="4" borderId="0" xfId="0" applyFont="1" applyFill="1" applyAlignment="1">
      <alignment vertical="center" wrapText="1"/>
    </xf>
    <xf numFmtId="9" fontId="3" fillId="4" borderId="12" xfId="0" applyNumberFormat="1" applyFont="1" applyFill="1" applyBorder="1" applyAlignment="1">
      <alignment horizontal="right" vertical="center" wrapText="1"/>
    </xf>
    <xf numFmtId="3" fontId="3" fillId="4" borderId="12" xfId="0" applyNumberFormat="1" applyFont="1" applyFill="1" applyBorder="1" applyAlignment="1">
      <alignment horizontal="right" vertical="center" wrapText="1"/>
    </xf>
    <xf numFmtId="0" fontId="3" fillId="4" borderId="0" xfId="0" applyFont="1" applyFill="1" applyAlignment="1">
      <alignment horizontal="right" vertical="center" wrapText="1"/>
    </xf>
    <xf numFmtId="0" fontId="7" fillId="4" borderId="0" xfId="0" applyFont="1" applyFill="1"/>
    <xf numFmtId="0" fontId="4" fillId="4" borderId="0" xfId="0" applyFont="1" applyFill="1" applyAlignment="1">
      <alignment vertical="center"/>
    </xf>
    <xf numFmtId="2" fontId="8" fillId="0" borderId="1" xfId="0" applyNumberFormat="1" applyFont="1" applyBorder="1"/>
    <xf numFmtId="0" fontId="7" fillId="0" borderId="0" xfId="0" applyFont="1" applyAlignment="1">
      <alignment horizontal="left"/>
    </xf>
    <xf numFmtId="0" fontId="18" fillId="0" borderId="0" xfId="0" applyFont="1"/>
    <xf numFmtId="3" fontId="3" fillId="2" borderId="0" xfId="0" applyNumberFormat="1" applyFont="1" applyFill="1" applyAlignment="1">
      <alignment vertical="center" wrapText="1"/>
    </xf>
    <xf numFmtId="0" fontId="3" fillId="2" borderId="0" xfId="0" applyFont="1" applyFill="1" applyAlignment="1">
      <alignment horizontal="left" vertical="center" wrapText="1"/>
    </xf>
    <xf numFmtId="0" fontId="3" fillId="2" borderId="0" xfId="0" applyFont="1" applyFill="1" applyAlignment="1">
      <alignment horizontal="left" vertical="center" indent="5"/>
    </xf>
    <xf numFmtId="0" fontId="3" fillId="2" borderId="1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0" fillId="2" borderId="0" xfId="0" applyFont="1" applyFill="1" applyAlignment="1">
      <alignment horizontal="left" vertical="center" indent="8"/>
    </xf>
    <xf numFmtId="2" fontId="0" fillId="5" borderId="0" xfId="0" applyNumberFormat="1" applyFill="1"/>
    <xf numFmtId="0" fontId="0" fillId="5" borderId="0" xfId="0" applyFill="1"/>
    <xf numFmtId="0" fontId="0" fillId="0" borderId="0" xfId="0" quotePrefix="1"/>
    <xf numFmtId="9" fontId="0" fillId="5" borderId="0" xfId="10" applyFont="1" applyFill="1"/>
    <xf numFmtId="166" fontId="0" fillId="0" borderId="0" xfId="0" applyNumberFormat="1"/>
    <xf numFmtId="166" fontId="0" fillId="5" borderId="0" xfId="0" applyNumberFormat="1" applyFill="1"/>
    <xf numFmtId="167" fontId="0" fillId="5" borderId="0" xfId="11" applyFont="1" applyFill="1"/>
    <xf numFmtId="8" fontId="0" fillId="5" borderId="0" xfId="0" applyNumberFormat="1" applyFill="1"/>
    <xf numFmtId="0" fontId="3" fillId="2" borderId="12" xfId="0" applyFont="1" applyFill="1" applyBorder="1" applyAlignment="1">
      <alignment vertical="center" wrapText="1"/>
    </xf>
    <xf numFmtId="3" fontId="3" fillId="2" borderId="12" xfId="0" applyNumberFormat="1" applyFont="1" applyFill="1" applyBorder="1" applyAlignment="1">
      <alignment vertical="center" wrapText="1"/>
    </xf>
    <xf numFmtId="10" fontId="3" fillId="2" borderId="12" xfId="0" applyNumberFormat="1" applyFont="1" applyFill="1" applyBorder="1" applyAlignment="1">
      <alignment vertical="center" wrapText="1"/>
    </xf>
    <xf numFmtId="9" fontId="3" fillId="2" borderId="12" xfId="0" applyNumberFormat="1" applyFont="1" applyFill="1" applyBorder="1" applyAlignment="1">
      <alignment vertical="center" wrapText="1"/>
    </xf>
    <xf numFmtId="0" fontId="3" fillId="2" borderId="2" xfId="0" applyFont="1" applyFill="1" applyBorder="1" applyAlignment="1">
      <alignment vertical="center" wrapText="1"/>
    </xf>
    <xf numFmtId="0" fontId="2" fillId="5" borderId="0" xfId="0" applyFont="1" applyFill="1" applyAlignment="1">
      <alignment vertical="center" wrapText="1"/>
    </xf>
    <xf numFmtId="0" fontId="3" fillId="2" borderId="15" xfId="0" applyFont="1" applyFill="1" applyBorder="1" applyAlignment="1">
      <alignment vertical="center" wrapText="1"/>
    </xf>
    <xf numFmtId="0" fontId="3" fillId="2" borderId="1" xfId="0" applyFont="1" applyFill="1" applyBorder="1" applyAlignment="1">
      <alignment vertical="center" wrapText="1"/>
    </xf>
    <xf numFmtId="0" fontId="3" fillId="2" borderId="0" xfId="0" applyFont="1" applyFill="1" applyAlignment="1">
      <alignment vertical="center" wrapText="1"/>
    </xf>
    <xf numFmtId="0" fontId="0" fillId="0" borderId="0" xfId="0" applyAlignment="1">
      <alignment vertical="center" wrapText="1"/>
    </xf>
    <xf numFmtId="0" fontId="3" fillId="4" borderId="0" xfId="0" applyFont="1" applyFill="1" applyAlignment="1">
      <alignment vertical="center" wrapText="1"/>
    </xf>
    <xf numFmtId="0" fontId="3" fillId="4" borderId="5"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2" xfId="0" applyFont="1" applyFill="1" applyBorder="1" applyAlignment="1">
      <alignment horizontal="center" vertical="center" wrapText="1"/>
    </xf>
    <xf numFmtId="3" fontId="3" fillId="2" borderId="5" xfId="0" applyNumberFormat="1" applyFont="1" applyFill="1" applyBorder="1" applyAlignment="1">
      <alignment horizontal="center" vertical="center" wrapText="1"/>
    </xf>
    <xf numFmtId="3" fontId="3" fillId="2" borderId="2" xfId="0" applyNumberFormat="1" applyFont="1" applyFill="1" applyBorder="1" applyAlignment="1">
      <alignment horizontal="center" vertical="center" wrapText="1"/>
    </xf>
    <xf numFmtId="0" fontId="3" fillId="2" borderId="5" xfId="0" applyFont="1" applyFill="1" applyBorder="1" applyAlignment="1">
      <alignment vertical="top" wrapText="1"/>
    </xf>
    <xf numFmtId="0" fontId="3" fillId="2" borderId="2" xfId="0" applyFont="1" applyFill="1" applyBorder="1" applyAlignment="1">
      <alignment vertical="top" wrapText="1"/>
    </xf>
  </cellXfs>
  <cellStyles count="12">
    <cellStyle name="Comma" xfId="9" builtinId="3"/>
    <cellStyle name="Comma 10 2" xfId="4" xr:uid="{00000000-0005-0000-0000-000001000000}"/>
    <cellStyle name="Comma 2" xfId="7" xr:uid="{00000000-0005-0000-0000-000002000000}"/>
    <cellStyle name="Comma 3" xfId="11" xr:uid="{F85FCFB3-441B-473C-BBE7-1B25C217B14C}"/>
    <cellStyle name="Comma 3 2" xfId="5" xr:uid="{00000000-0005-0000-0000-000003000000}"/>
    <cellStyle name="Normal" xfId="0" builtinId="0"/>
    <cellStyle name="Normal 2" xfId="6" xr:uid="{00000000-0005-0000-0000-000005000000}"/>
    <cellStyle name="Normal 2 2" xfId="3" xr:uid="{00000000-0005-0000-0000-000006000000}"/>
    <cellStyle name="Normal 7 3" xfId="1" xr:uid="{00000000-0005-0000-0000-000007000000}"/>
    <cellStyle name="Percent" xfId="10" builtinId="5"/>
    <cellStyle name="Percent 2" xfId="8" xr:uid="{00000000-0005-0000-0000-000009000000}"/>
    <cellStyle name="Percent 3 2" xfId="2"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1171575</xdr:colOff>
      <xdr:row>10</xdr:row>
      <xdr:rowOff>28575</xdr:rowOff>
    </xdr:from>
    <xdr:to>
      <xdr:col>2</xdr:col>
      <xdr:colOff>1666875</xdr:colOff>
      <xdr:row>11</xdr:row>
      <xdr:rowOff>195072</xdr:rowOff>
    </xdr:to>
    <xdr:pic>
      <xdr:nvPicPr>
        <xdr:cNvPr id="2" name="Picture 1">
          <a:extLst>
            <a:ext uri="{FF2B5EF4-FFF2-40B4-BE49-F238E27FC236}">
              <a16:creationId xmlns:a16="http://schemas.microsoft.com/office/drawing/2014/main" id="{95F12F47-B7DB-4E87-9413-53624B7FBBC1}"/>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72615" y="1857375"/>
          <a:ext cx="0" cy="3341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485775</xdr:colOff>
      <xdr:row>10</xdr:row>
      <xdr:rowOff>85725</xdr:rowOff>
    </xdr:from>
    <xdr:to>
      <xdr:col>3</xdr:col>
      <xdr:colOff>1047750</xdr:colOff>
      <xdr:row>11</xdr:row>
      <xdr:rowOff>95250</xdr:rowOff>
    </xdr:to>
    <xdr:pic>
      <xdr:nvPicPr>
        <xdr:cNvPr id="3" name="Picture 2">
          <a:extLst>
            <a:ext uri="{FF2B5EF4-FFF2-40B4-BE49-F238E27FC236}">
              <a16:creationId xmlns:a16="http://schemas.microsoft.com/office/drawing/2014/main" id="{AA797928-2415-4A60-AC60-0A2A406ADCE7}"/>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360295" y="1914525"/>
          <a:ext cx="135255" cy="192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476250</xdr:colOff>
      <xdr:row>22</xdr:row>
      <xdr:rowOff>9526</xdr:rowOff>
    </xdr:from>
    <xdr:to>
      <xdr:col>0</xdr:col>
      <xdr:colOff>1314449</xdr:colOff>
      <xdr:row>22</xdr:row>
      <xdr:rowOff>314326</xdr:rowOff>
    </xdr:to>
    <xdr:pic>
      <xdr:nvPicPr>
        <xdr:cNvPr id="4" name="Picture 3">
          <a:extLst>
            <a:ext uri="{FF2B5EF4-FFF2-40B4-BE49-F238E27FC236}">
              <a16:creationId xmlns:a16="http://schemas.microsoft.com/office/drawing/2014/main" id="{E20D4358-A10F-4711-8316-F79084C9F8A4}"/>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6250" y="4032886"/>
          <a:ext cx="152399" cy="175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495300</xdr:colOff>
      <xdr:row>23</xdr:row>
      <xdr:rowOff>0</xdr:rowOff>
    </xdr:from>
    <xdr:to>
      <xdr:col>0</xdr:col>
      <xdr:colOff>1095375</xdr:colOff>
      <xdr:row>24</xdr:row>
      <xdr:rowOff>9525</xdr:rowOff>
    </xdr:to>
    <xdr:pic>
      <xdr:nvPicPr>
        <xdr:cNvPr id="5" name="Picture 4">
          <a:extLst>
            <a:ext uri="{FF2B5EF4-FFF2-40B4-BE49-F238E27FC236}">
              <a16:creationId xmlns:a16="http://schemas.microsoft.com/office/drawing/2014/main" id="{2E26EA73-F1B2-406E-AB9A-880BD054AF5A}"/>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95300" y="4206240"/>
          <a:ext cx="127635" cy="192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rgare-my.sharepoint.com/personal/apple_levine_rgare_com/Documents/Desktop/ILA%20LPM/QWC/ILA-LPM%20Rubric%20Template_2024_AL.xlsx" TargetMode="External"/><Relationship Id="rId1" Type="http://schemas.openxmlformats.org/officeDocument/2006/relationships/externalLinkPath" Target="https://rgare-my.sharepoint.com/personal/apple_levine_rgare_com/Documents/Desktop/ILA%20LPM/QWC/ILA-LPM%20Rubric%20Template_2024_AL.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ocietyofactuaries-my.sharepoint.com/personal/mdulceak_soa_org/Documents/U_Drive/Solutions/November%202025%20Solutions/ILA%20101/Copy%20of%20ILA101%20Solution%20Fall%202025%20Question%206.xlsx" TargetMode="External"/><Relationship Id="rId1" Type="http://schemas.openxmlformats.org/officeDocument/2006/relationships/externalLinkPath" Target="https://societyofactuaries-my.sharepoint.com/personal/mdulceak_soa_org/Documents/U_Drive/Solutions/November%202025%20Solutions/ILA%20101/Copy%20of%20ILA101%20Solution%20Fall%202025%20Question%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Rubric Template"/>
      <sheetName val="syllabus list"/>
      <sheetName val="LO"/>
    </sheetNames>
    <sheetDataSet>
      <sheetData sheetId="0" refreshError="1">
        <row r="2">
          <cell r="E2">
            <v>2024</v>
          </cell>
        </row>
      </sheetData>
      <sheetData sheetId="1" refreshError="1"/>
      <sheetData sheetId="2" refreshError="1">
        <row r="4">
          <cell r="B4" t="str">
            <v xml:space="preserve">LPM-107-07: Experience Assumptions for Individual Life Insurance and Annuities </v>
          </cell>
        </row>
        <row r="5">
          <cell r="B5" t="str">
            <v>LPM-121-13: Life Insurance and Annuity Non-forfeiture Practices</v>
          </cell>
        </row>
        <row r="6">
          <cell r="B6" t="str">
            <v>LPM-142-16: Malcolm Life Enhances Its Variable Annuities, 2010 </v>
          </cell>
        </row>
        <row r="7">
          <cell r="B7" t="str">
            <v>LPM-148-19: Ch. 9 of Life Insurance Products and Finance, Atkinson and Dallas</v>
          </cell>
        </row>
        <row r="8">
          <cell r="B8" t="str">
            <v>LPM-149-22: Ch. 11, pp. 499-512 of Life Insurance Products and Finance, Atkinson and Dallas</v>
          </cell>
        </row>
        <row r="9">
          <cell r="B9" t="str">
            <v>LPM-152-19: Lapse Supported Insurance Analysis</v>
          </cell>
        </row>
        <row r="10">
          <cell r="B10" t="str">
            <v>LPM-165-20: Life Products and Features</v>
          </cell>
        </row>
        <row r="11">
          <cell r="B11" t="str">
            <v>LPM-166-20: Annuity Product and Features</v>
          </cell>
        </row>
        <row r="12">
          <cell r="B12" t="str">
            <v>LPM-171-21: Excerpts from Ch. 12 and Ch. 18 Statutory Valuation of Individual Life and Annuity Contracts, Claire, Lombardi and Summers, 5th Edition (sections 12.2 &amp; 12.4 and sections 18.2, 18.3.2 &amp; 18.3.3 only)</v>
          </cell>
        </row>
        <row r="13">
          <cell r="B13" t="str">
            <v>LPM-XX-24: Market Trends and Product Designs: Considerations when Interest Rates are Rising, Sun, Moench, Strother, Lee, and Mu, 2021</v>
          </cell>
        </row>
        <row r="14">
          <cell r="B14" t="str">
            <v>LPM-XXX-23: Registered Index-Linked Annuities, SOA Research Institute, Carbo, Elliot, and McGarr, 2022</v>
          </cell>
        </row>
        <row r="15">
          <cell r="B15" t="str">
            <v>Structured Settlement Annuities, SOA Research Institute, Sklar, 2022</v>
          </cell>
        </row>
        <row r="16">
          <cell r="B16" t="str">
            <v>Pension Risk Transfer in Canada and the U.S., SOA Research Institute, Simmons, 2022</v>
          </cell>
        </row>
        <row r="17">
          <cell r="B17" t="str">
            <v xml:space="preserve">Standards of Practice, Canadian Institute of Actuaries Actuarial Standards Board, 2022, Section 1600 </v>
          </cell>
        </row>
        <row r="18">
          <cell r="B18" t="str">
            <v>ASOP 54: Pricing of Life and Annuity Products, Jun 2018</v>
          </cell>
        </row>
        <row r="19">
          <cell r="B19" t="str">
            <v xml:space="preserve">Impact of VM-20 on Life Insurance Product Development, SOA Research, Nov 2016, pp. 1-31 (excluding discussion of 20-year term) </v>
          </cell>
        </row>
        <row r="20">
          <cell r="B20" t="str">
            <v xml:space="preserve">The Use of Predictive Analytics in the Development of Experience Studies, The Actuary, Oct/Nov 2015, pp. 26-34 </v>
          </cell>
        </row>
        <row r="21">
          <cell r="B21" t="str">
            <v>Variable Annuity Guaranteed Living Benefits Utilization, SOA LIMRA Research, 2018, Executive Summary only (pp. 19-32)</v>
          </cell>
        </row>
        <row r="22">
          <cell r="B22" t="str">
            <v>Predictive Modeling for Life Insurance: Ways Life Insurers Can Participate in the Business Analytics Revolution, Product Matters, Jun 2018</v>
          </cell>
        </row>
        <row r="23">
          <cell r="B23" t="str">
            <v>Life Insurance Acceleration Riders, SOA Reinsurance News, 2013, pp. 35-38</v>
          </cell>
        </row>
        <row r="24">
          <cell r="B24" t="str">
            <v xml:space="preserve">The Response of Life Insurance Pricing to Life Settlements, Product Matters, Sep 2006  </v>
          </cell>
        </row>
        <row r="25">
          <cell r="B25" t="str">
            <v>Term Conversions: Pricing and Reserving, Product Matters, Mar 2017</v>
          </cell>
        </row>
        <row r="26">
          <cell r="B26" t="str">
            <v>Ending the Mortality Table, Living to 100 Symposium</v>
          </cell>
        </row>
        <row r="27">
          <cell r="B27" t="str">
            <v xml:space="preserve">Level Term Lapse Rates – Lessons Learned Here and in Canada, Product Matters, Oct 2011, pp. 11-14 </v>
          </cell>
        </row>
        <row r="28">
          <cell r="B28" t="str">
            <v>What if Mortality Stops Improving? Introducing a Product Idea that Shares the Risks and Benefits of Changes in Mortality Rates, Product Matters, Aug 2023</v>
          </cell>
        </row>
        <row r="29">
          <cell r="B29" t="str">
            <v xml:space="preserve">Report on Premium Persistency Assumptions Study of Flexible Premium Universal Life Products, May 2012, pp. 9-15 </v>
          </cell>
        </row>
        <row r="30">
          <cell r="B30" t="str">
            <v xml:space="preserve">Understanding the Volatility Experience and Pricing Assumptions in Long-Term Care Insurance, 2014, pp. 4-46 </v>
          </cell>
        </row>
        <row r="31">
          <cell r="B31" t="str">
            <v>Long-Term Care Insurance: The SOA Pricing Project, 2016</v>
          </cell>
        </row>
        <row r="32">
          <cell r="B32" t="str">
            <v>Table Development, Feb 2018 (excluding Appendices C, D, F, G &amp; H)</v>
          </cell>
        </row>
        <row r="33">
          <cell r="B33" t="str">
            <v>CIA Educational Note: Selective Lapsation for Renewable Term Insurance Products, Feb 2017</v>
          </cell>
        </row>
        <row r="34">
          <cell r="B34" t="str">
            <v>Overview of Non-guaranteed Elements (NGEs), SOA Research Institute, Cook, Koon, Motiwalla, and Rudolph, 2022</v>
          </cell>
        </row>
        <row r="35">
          <cell r="B35" t="str">
            <v>Predictive Models on Conversion Studies for the Level Term Premium Plans, Society of Actuaries, March 2022</v>
          </cell>
        </row>
        <row r="36">
          <cell r="B36" t="str">
            <v>LPM-113-09: Economics of Insurance: How Insurers Create Value for Shareholders, pp. 4-31</v>
          </cell>
        </row>
        <row r="37">
          <cell r="B37" t="str">
            <v>LPM-153-19: Life in-force Management: Improving Consumer Value and Long-Term Profitability</v>
          </cell>
        </row>
        <row r="38">
          <cell r="B38" t="str">
            <v>LPM-155-19: Understanding Profitability in Life Insurance</v>
          </cell>
        </row>
        <row r="39">
          <cell r="B39" t="str">
            <v>Evolving Strategies to Improve Inforce Post-Level Term Profitability, Product Matters, Feb 2015, pp. 23-29</v>
          </cell>
        </row>
        <row r="40">
          <cell r="B40" t="str">
            <v>LPM-147-17: Life Insurance: Focusing on the Consumer (excluding Appendices)</v>
          </cell>
        </row>
        <row r="41">
          <cell r="B41" t="str">
            <v>LPM-156-19: The Impact of Stochastic Volatility on Pricing, Hedging and Hedge Efficiency of Withdrawal Benefit Guarantees in Variable Annuities (Note: Candidates not responsible for mathematical derivations or detailed results, but should understand concepts and methodology)</v>
          </cell>
        </row>
        <row r="42">
          <cell r="B42" t="str">
            <v>LPM-157-19: Diversification of Longevity and Mortality Risk</v>
          </cell>
        </row>
        <row r="43">
          <cell r="B43" t="str">
            <v>LPM-168-20: LexisNexis® Risk Classifier – Stratifying Mortality Risk Using Alternative Data Sources</v>
          </cell>
        </row>
        <row r="44">
          <cell r="B44" t="str">
            <v>LPM-171-23: Canadian Life and Health Insurance Guidelines (CLHIA) - Guideline G-6 – Illustrations</v>
          </cell>
        </row>
        <row r="45">
          <cell r="B45" t="str">
            <v>LPM-171-21: Excerpts from Ch. 12 of Statutory Valuation of Individual Life and Annuity Contracts, Claire, Lombardi and Summers, 5th Edition (sections 12.3 &amp; 12.4 only)</v>
          </cell>
        </row>
        <row r="46">
          <cell r="B46" t="str">
            <v>Credibility Methods Applied to Life, Health, and Pensions, Society of Actuaries, 2019 (only pages 1-25)</v>
          </cell>
        </row>
        <row r="47">
          <cell r="B47" t="str">
            <v>The Application of Credibility Theory in the Canadian Life Insurance Industry, Society of Actuaries and Canadian Institute of Actuaries, 2019 (excluding appendices)</v>
          </cell>
        </row>
        <row r="48">
          <cell r="B48" t="str">
            <v>Mechanics of Dividends, SOA Research Institute, Dale Hagstrom, Mar 2022</v>
          </cell>
        </row>
        <row r="49">
          <cell r="B49" t="str">
            <v>Experience Study Calculations, Oct 2016, sections 2-4, 11, 12 15, 17 &amp; 18 (excluding 18.2, 18.8 &amp; 18.9)</v>
          </cell>
        </row>
        <row r="50">
          <cell r="B50" t="str">
            <v>Actuarial Guideline XLIX (AG49): Past, Present and Future, Product Matters, Jun 2023</v>
          </cell>
        </row>
        <row r="51">
          <cell r="B51" t="str">
            <v>ASOP 24: Compliance with the NAIC Life Illustrations Model Regulation , December 2016</v>
          </cell>
        </row>
        <row r="52">
          <cell r="B52" t="str">
            <v>Life Insurance for the Digital Age:  An End-to-End View , Product Matters, Nov 2017</v>
          </cell>
        </row>
        <row r="53">
          <cell r="B53" t="str">
            <v>NAIC Accelerated Underwriting In Life Insurance Educational Report (excluding appendix A), April 2022</v>
          </cell>
        </row>
        <row r="54">
          <cell r="B54" t="str">
            <v>Life, Health &amp; Annuity Reinsurance, Tiller, John E. and Tiller, Denise, 4th Edition, 2015 - Ch. 4: Basic Methods of Reinsurance</v>
          </cell>
        </row>
        <row r="55">
          <cell r="B55" t="str">
            <v>Life, Health &amp; Annuity Reinsurance, Tiller, John E. and Tiller, Denise, 4th Edition, 2015 - Ch. 5: Advanced Methods and Structures of Reinsurance</v>
          </cell>
        </row>
        <row r="56">
          <cell r="B56" t="str">
            <v>Life, Health &amp; Annuity Reinsurance, Tiller, John E. and Tiller, Denise, 4th Edition, 2015 - Ch. 6: Assumption</v>
          </cell>
        </row>
        <row r="57">
          <cell r="B57" t="str">
            <v>Life, Health &amp; Annuity Reinsurance, Tiller, John E. and Tiller, Denise, 4th Edition, 2015 - Ch. 7: Reinsurance of Inforce Risks</v>
          </cell>
        </row>
        <row r="58">
          <cell r="B58" t="str">
            <v>Life, Health &amp; Annuity Reinsurance, Tiller, John E. and Tiller, Denise, 4th Edition, 2015 - Ch. 9: Risk Transfer Considerations (pp. 269-280)</v>
          </cell>
        </row>
        <row r="59">
          <cell r="B59" t="str">
            <v>Life, Health &amp; Annuity Reinsurance, Tiller, John E. and Tiller, Denise, 4th Edition, 2015 - Ch. 17: Nonproportional Reinsurance</v>
          </cell>
        </row>
        <row r="60">
          <cell r="B60" t="str">
            <v>LPM-160-19: Strategic Reinsurance and Insurance: The Increasing Trend of Customized Solutions, pp. 1-4, 14-15 &amp; 18-31</v>
          </cell>
        </row>
        <row r="90">
          <cell r="A90" t="str">
            <v>LO#1</v>
          </cell>
          <cell r="B90" t="str">
            <v>Retrieval</v>
          </cell>
        </row>
        <row r="91">
          <cell r="A91" t="str">
            <v>LO#2</v>
          </cell>
          <cell r="B91" t="str">
            <v>Comprehension</v>
          </cell>
        </row>
        <row r="92">
          <cell r="A92" t="str">
            <v>LO#3</v>
          </cell>
          <cell r="B92" t="str">
            <v>Analysis</v>
          </cell>
        </row>
        <row r="93">
          <cell r="A93" t="str">
            <v>LO#4</v>
          </cell>
          <cell r="B93" t="str">
            <v>Knowledge Utilization</v>
          </cell>
        </row>
        <row r="94">
          <cell r="A94" t="str">
            <v>LO#5</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SB-02 (Q1)"/>
      <sheetName val="KSB-02 Solution"/>
      <sheetName val="KSB-01 (Q2)"/>
      <sheetName val="DSC-01 (Q3) "/>
      <sheetName val="DSC-01 Solution"/>
      <sheetName val="TRL-01 (Q4)"/>
      <sheetName val="TRL-01 Solution"/>
      <sheetName val="AL-1 (Q5)"/>
      <sheetName val="AL-1 Solution 1"/>
      <sheetName val="AL-1 Solution 2"/>
      <sheetName val="Sheet1"/>
      <sheetName val="EAC-02 (Q7)"/>
      <sheetName val="EAC-02 Solution 1"/>
      <sheetName val="EAC-02 Solution 2"/>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
          <cell r="B2" t="str">
            <v>LO1 - Life Products and Features, ILA Committee, 2019</v>
          </cell>
        </row>
        <row r="3">
          <cell r="B3" t="str">
            <v>LO1 - Annuity Products and Features, ILA Committee, 2019</v>
          </cell>
        </row>
        <row r="4">
          <cell r="B4" t="str">
            <v>LO1 - Structured Settlement Annuities, SOA Research Institute, Sklar, 2022</v>
          </cell>
        </row>
        <row r="5">
          <cell r="B5" t="str">
            <v>LO1 - Pension Risk Transfer in Canada and the U.S., SOA Research Institute, Simmons, 2022</v>
          </cell>
        </row>
        <row r="6">
          <cell r="B6" t="str">
            <v>LO1 - Registered Index-Linked Annuities, SOA Research Institute, Carbo, Elliot, and McGarr, 2022</v>
          </cell>
        </row>
        <row r="7">
          <cell r="B7" t="str">
            <v>LO1 - Life Insurance Acceleration Riders, Fillmore, SoA Reinsurance News, 2013, pp. 35-38</v>
          </cell>
        </row>
        <row r="8">
          <cell r="B8" t="str">
            <v>LO1 - Understanding Profitability in Life Insurance</v>
          </cell>
        </row>
        <row r="9">
          <cell r="B9" t="str">
            <v>LO1 - Profit Measures and Analysis, Atkinson and Dallas, Ch. 11,  pp. 499-502</v>
          </cell>
        </row>
        <row r="10">
          <cell r="B10" t="str">
            <v>LO1 - Taxes, Ch. 9, Life Insurance Products and Finance, Atkinson and Dallas</v>
          </cell>
        </row>
        <row r="11">
          <cell r="B11" t="str">
            <v>LO1 - Life Insurance and Annuity Non-forfeiture Practices</v>
          </cell>
        </row>
        <row r="12">
          <cell r="B12" t="str">
            <v>LO2 - Experience Assumptions for Individual Life Insurance and Annuities</v>
          </cell>
        </row>
        <row r="13">
          <cell r="B13" t="str">
            <v>LO2 - Lapse Supported Insurance, CooperConnect Field Notes, 2005</v>
          </cell>
        </row>
        <row r="14">
          <cell r="B14" t="str">
            <v>LO2 - CIA Educational Note: Selective Lapsation for Renewable Term Insurance Products, February 2017</v>
          </cell>
        </row>
        <row r="15">
          <cell r="B15" t="str">
            <v>LO2 - Report on Premium Persistency Assumptions Study of Flexible Premium UL Products, SOA Research &amp; Milliman, 2012, pp. 9 - 15</v>
          </cell>
        </row>
        <row r="16">
          <cell r="B16" t="str">
            <v>LO2 - Variable Annuity Guaranteed Living Benefits Utilization, SOA LIMRA Research, 2017, Executive Summary only (pp. 19 – 32)</v>
          </cell>
        </row>
        <row r="17">
          <cell r="B17" t="str">
            <v>LO2 - Term Conversions : Pricing and Reserving, Product Matters, 2017</v>
          </cell>
        </row>
        <row r="18">
          <cell r="B18" t="str">
            <v>LO2 - Predictive Models on Conversion Studies for the Level Term Premium Plans, Society of Actuaries, March 2017</v>
          </cell>
        </row>
        <row r="19">
          <cell r="B19" t="str">
            <v>LO2 - Credibility Methods Applied to Life, Health, and Pensions, Society of Actuaries, 2019 (only pages 1-25) and Excel Limited Fluctuation Method Example</v>
          </cell>
        </row>
        <row r="20">
          <cell r="B20" t="str">
            <v>LO2 - Table Development, Society of Actuaries, 2018, (exclude Appendices C, D, F, G, H)</v>
          </cell>
        </row>
        <row r="21">
          <cell r="B21" t="str">
            <v>LO2 - Experience Study Calculations, Society of Actuaries, Ch. 2-4 , 11, 12, 15, 17, 18 (excluding 18.2, 18.8, 18.9)</v>
          </cell>
        </row>
        <row r="22">
          <cell r="B22" t="str">
            <v>LO3 - Life Insurance for the Digital Age:  An End-to-End View, Product Matters, 2017</v>
          </cell>
        </row>
        <row r="23">
          <cell r="B23" t="str">
            <v>LO3 - The Art and Science of Life Insurance Distribution, Ch. 3-4, 6-7, 10</v>
          </cell>
        </row>
        <row r="24">
          <cell r="B24" t="str">
            <v xml:space="preserve">LO3 - Chapters 1 and 2 of Life Insurance and Modified Endowments Under IRC §7702 and §7702A, Desrochers, 2nd Edition </v>
          </cell>
        </row>
        <row r="25">
          <cell r="B25" t="str">
            <v xml:space="preserve">LO3 - Chapter 10, The Taxation of Life Insurance Policies </v>
          </cell>
        </row>
        <row r="26">
          <cell r="B26" t="str">
            <v>LO3 - Overview of Non-guaranteed Elements (NGEs), SOA Research Institute, Cook, Koon, Motiwalla, and Rudolph, 2022</v>
          </cell>
        </row>
        <row r="27">
          <cell r="B27" t="str">
            <v>LO3 - Placeholder for new illustration paper</v>
          </cell>
        </row>
        <row r="28">
          <cell r="B28" t="str">
            <v>LO3 - Market Trends and Product Designs: Considerations when Interest Rates are Rising, Sun, Moench, Strother, Lee, and Mu, 2021</v>
          </cell>
        </row>
        <row r="29">
          <cell r="B29" t="str">
            <v>LO4 - Chapter 1:    US GAAP - Objectives and Implications</v>
          </cell>
        </row>
        <row r="30">
          <cell r="B30" t="str">
            <v>LO4 - Chapter 5:    US GAAP - Non-participating Traditional Life Insurance</v>
          </cell>
        </row>
        <row r="31">
          <cell r="B31" t="str">
            <v>LO4 - Chapter 1 – Overview of Valuation Concepts (exclude 1.1-9)</v>
          </cell>
        </row>
        <row r="32">
          <cell r="B32" t="str">
            <v>LO4 - Chapter 11 – Valuation Methodologies (exclude 11.3.9 to 11.3.11)</v>
          </cell>
        </row>
        <row r="33">
          <cell r="B33" t="str">
            <v>LO4 - Fundamentals of the Principle-Based Approach to Statutory Reserves for Life Insurance, July 2019</v>
          </cell>
        </row>
        <row r="34">
          <cell r="B34" t="str">
            <v>LO4 - Insurance Contracts First Impressions: 2020 Edition IFRS 17, KPMG, July 2020 (only Sections 1.1-1.2, 3.1, 5.1-5.3, 6.1-6.4, 14.1-14.2, 15.1-15.2, 17.1-17.3, 20.1)</v>
          </cell>
        </row>
        <row r="35">
          <cell r="B35" t="str">
            <v>LO4 - Regulatory Capital Adequacy for Life Insurance Companies: A Comparison of Four Jurisdictions (including spreadsheet)</v>
          </cell>
        </row>
        <row r="36">
          <cell r="B36" t="str">
            <v>LO5 - Revisiting the Role of Insurance Company ALM within a Risk Management Framework, Goldman Sachs, 2010</v>
          </cell>
        </row>
        <row r="37">
          <cell r="B37" t="str">
            <v>LO5 - Derivatives Markets, ​McDonald, 3rd ed., Ch. 7 - Interest Rate Forwards and Futures, Sections 7.2 - 7.7</v>
          </cell>
        </row>
        <row r="38">
          <cell r="B38" t="str">
            <v>LO5 - Understanding Options Embedded in Insurer's Balance Sheets, Rubin, Ch. 16 of ALM Management of Financial Institutions, Tilman, 2003</v>
          </cell>
        </row>
        <row r="39">
          <cell r="B39" t="str">
            <v>LO5 - An Introduction to Computational Risk Management of Equity-Linked Insurance, Chapter 1, Modeling of Equity-linked Insurance</v>
          </cell>
        </row>
        <row r="40">
          <cell r="B40" t="str">
            <v>LO5 - An Introduction to Computational Risk Management of Equity-Linked Insurance, Chapter 4, Pricing and Valuation (excluding Section 4.7)</v>
          </cell>
        </row>
        <row r="41">
          <cell r="B41" t="str">
            <v>LO5 - Simulation of a Guaranteed Minimum Annuity Benefit, Freedman, 2019</v>
          </cell>
        </row>
        <row r="42">
          <cell r="B42" t="str">
            <v>LO5 - Excel Model - Stochastic Simulation of a GMAB Option (Accompanies Simulation of a GMAB)</v>
          </cell>
        </row>
        <row r="43">
          <cell r="B43" t="str">
            <v>LO5 - The Handbook of Fixed Income Securities, Fabozzi, 9th Ed. , Ch. 10: Corporate Bonds (pp. 235-262, excluding exhibits 10-1 &amp; 10-2)</v>
          </cell>
        </row>
        <row r="44">
          <cell r="B44" t="str">
            <v>LO5 - The Handbook of Fixed Income Securities, Fabozzi, 9th Ed. , Ch. 21 - An Overview of Mortgages and the Mortgage Market</v>
          </cell>
        </row>
        <row r="45">
          <cell r="B45" t="str">
            <v>LO5 - Tiller, 4th edition, Chapter 1:      Basic Terms and Concepts (only pages 3-16 and 22)</v>
          </cell>
        </row>
        <row r="46">
          <cell r="B46" t="str">
            <v>LO5 - Tiller, 4th edition, Chapter 4:      Basic Methods of Reinsurance</v>
          </cell>
        </row>
        <row r="47">
          <cell r="B47" t="str">
            <v>LO5 - Tiller, 4th edition, Chapter 5:      Advanced Methods of Reinsurance (only pages 105-140 and 150-156)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6"/>
  <sheetViews>
    <sheetView workbookViewId="0">
      <selection activeCell="B24" sqref="B24"/>
    </sheetView>
  </sheetViews>
  <sheetFormatPr defaultColWidth="9.140625" defaultRowHeight="15.4" customHeight="1" x14ac:dyDescent="0.25"/>
  <cols>
    <col min="1" max="1" width="29.7109375" style="6" customWidth="1"/>
    <col min="2" max="7" width="13.140625" style="6" customWidth="1"/>
    <col min="8" max="16384" width="9.140625" style="6"/>
  </cols>
  <sheetData>
    <row r="1" spans="1:7" ht="17.45" x14ac:dyDescent="0.25">
      <c r="A1" s="2" t="s">
        <v>2</v>
      </c>
      <c r="B1" s="5"/>
      <c r="C1" s="5"/>
      <c r="D1" s="5"/>
      <c r="E1" s="5"/>
      <c r="F1" s="5"/>
      <c r="G1" s="5"/>
    </row>
    <row r="2" spans="1:7" ht="15.4" customHeight="1" x14ac:dyDescent="0.25">
      <c r="A2" s="2"/>
      <c r="B2" s="5"/>
      <c r="C2" s="5"/>
      <c r="D2" s="5"/>
      <c r="E2" s="5"/>
      <c r="F2" s="5"/>
      <c r="G2" s="5"/>
    </row>
    <row r="3" spans="1:7" ht="15.4" customHeight="1" x14ac:dyDescent="0.25">
      <c r="A3" s="3" t="s">
        <v>3</v>
      </c>
      <c r="B3" s="5"/>
      <c r="C3" s="5"/>
      <c r="D3" s="5"/>
      <c r="E3" s="5"/>
      <c r="F3" s="5"/>
      <c r="G3" s="5"/>
    </row>
    <row r="4" spans="1:7" ht="15.4" customHeight="1" x14ac:dyDescent="0.25">
      <c r="A4" s="2"/>
      <c r="B4" s="5"/>
      <c r="C4" s="5"/>
      <c r="D4" s="5"/>
      <c r="E4" s="5"/>
      <c r="F4" s="5"/>
      <c r="G4" s="5"/>
    </row>
    <row r="5" spans="1:7" ht="15.4" customHeight="1" x14ac:dyDescent="0.25">
      <c r="A5" s="3" t="s">
        <v>4</v>
      </c>
      <c r="B5" s="3"/>
      <c r="C5" s="3"/>
      <c r="D5" s="3"/>
      <c r="E5" s="3"/>
      <c r="F5" s="3"/>
      <c r="G5" s="3"/>
    </row>
    <row r="6" spans="1:7" ht="15.4" customHeight="1" thickBot="1" x14ac:dyDescent="0.3">
      <c r="A6" s="3"/>
      <c r="B6" s="3"/>
      <c r="C6" s="3"/>
      <c r="D6" s="3"/>
      <c r="E6" s="3"/>
      <c r="F6" s="3"/>
      <c r="G6" s="3"/>
    </row>
    <row r="7" spans="1:7" s="8" customFormat="1" ht="15.4" customHeight="1" thickBot="1" x14ac:dyDescent="0.35">
      <c r="A7" s="11" t="s">
        <v>5</v>
      </c>
      <c r="B7" s="14">
        <v>0</v>
      </c>
      <c r="C7" s="14">
        <v>1</v>
      </c>
      <c r="D7" s="14">
        <v>2</v>
      </c>
      <c r="E7" s="14">
        <v>3</v>
      </c>
      <c r="F7" s="14">
        <v>4</v>
      </c>
      <c r="G7" s="14">
        <v>5</v>
      </c>
    </row>
    <row r="8" spans="1:7" s="8" customFormat="1" ht="15.4" customHeight="1" thickBot="1" x14ac:dyDescent="0.35">
      <c r="A8" s="11" t="s">
        <v>6</v>
      </c>
      <c r="B8" s="15">
        <v>10000</v>
      </c>
      <c r="C8" s="15">
        <v>7500</v>
      </c>
      <c r="D8" s="15">
        <v>9000</v>
      </c>
      <c r="E8" s="15">
        <v>9500</v>
      </c>
      <c r="F8" s="15">
        <v>11500</v>
      </c>
      <c r="G8" s="15">
        <v>11750</v>
      </c>
    </row>
    <row r="9" spans="1:7" s="1" customFormat="1" ht="15.4" customHeight="1" thickBot="1" x14ac:dyDescent="0.35">
      <c r="A9" s="3"/>
      <c r="B9" s="3"/>
      <c r="C9" s="3"/>
      <c r="D9" s="3"/>
      <c r="E9" s="3"/>
      <c r="F9" s="3"/>
      <c r="G9" s="3"/>
    </row>
    <row r="10" spans="1:7" s="1" customFormat="1" ht="15.4" customHeight="1" thickBot="1" x14ac:dyDescent="0.35">
      <c r="A10" s="16" t="s">
        <v>7</v>
      </c>
      <c r="B10" s="17">
        <v>1000</v>
      </c>
      <c r="C10" s="3"/>
      <c r="D10" s="3"/>
      <c r="E10" s="3"/>
      <c r="F10" s="3"/>
      <c r="G10" s="3"/>
    </row>
    <row r="11" spans="1:7" s="1" customFormat="1" ht="15.4" customHeight="1" x14ac:dyDescent="0.3">
      <c r="A11" s="13"/>
      <c r="B11" s="3"/>
      <c r="C11" s="3"/>
      <c r="D11" s="3"/>
      <c r="E11" s="3"/>
      <c r="F11" s="3"/>
      <c r="G11" s="3"/>
    </row>
    <row r="12" spans="1:7" s="8" customFormat="1" ht="15.4" customHeight="1" x14ac:dyDescent="0.3">
      <c r="A12" s="3" t="s">
        <v>12</v>
      </c>
      <c r="B12" s="3"/>
      <c r="C12" s="3"/>
      <c r="D12" s="10"/>
      <c r="E12" s="10"/>
      <c r="F12" s="9"/>
      <c r="G12" s="9"/>
    </row>
    <row r="13" spans="1:7" s="8" customFormat="1" ht="15.4" customHeight="1" x14ac:dyDescent="0.3">
      <c r="A13" s="18" t="s">
        <v>13</v>
      </c>
      <c r="B13" s="3"/>
      <c r="C13" s="3"/>
      <c r="D13" s="10"/>
      <c r="E13" s="10"/>
      <c r="F13" s="9"/>
      <c r="G13" s="9"/>
    </row>
    <row r="14" spans="1:7" s="8" customFormat="1" ht="15.4" customHeight="1" x14ac:dyDescent="0.3">
      <c r="A14" s="18" t="s">
        <v>14</v>
      </c>
      <c r="B14" s="3"/>
      <c r="C14" s="3"/>
      <c r="D14" s="10"/>
      <c r="E14" s="10"/>
      <c r="F14" s="9"/>
      <c r="G14" s="9"/>
    </row>
    <row r="15" spans="1:7" s="1" customFormat="1" ht="15.4" customHeight="1" x14ac:dyDescent="0.3">
      <c r="A15" s="13"/>
      <c r="B15" s="3"/>
      <c r="C15" s="3"/>
      <c r="D15" s="3"/>
      <c r="E15" s="3"/>
      <c r="F15" s="3"/>
      <c r="G15" s="3"/>
    </row>
    <row r="16" spans="1:7" s="1" customFormat="1" ht="15.4" customHeight="1" x14ac:dyDescent="0.3"/>
    <row r="17" spans="1:7" ht="15.4" customHeight="1" x14ac:dyDescent="0.25">
      <c r="A17" s="1" t="s">
        <v>0</v>
      </c>
    </row>
    <row r="18" spans="1:7" ht="15.4" customHeight="1" x14ac:dyDescent="0.25">
      <c r="B18" s="7"/>
    </row>
    <row r="19" spans="1:7" ht="15.4" customHeight="1" x14ac:dyDescent="0.25">
      <c r="A19" s="6" t="s">
        <v>8</v>
      </c>
      <c r="B19" s="7" t="s">
        <v>1</v>
      </c>
    </row>
    <row r="20" spans="1:7" ht="15.4" customHeight="1" thickBot="1" x14ac:dyDescent="0.3">
      <c r="B20" s="7"/>
    </row>
    <row r="21" spans="1:7" ht="15.4" customHeight="1" thickBot="1" x14ac:dyDescent="0.3">
      <c r="A21" s="11" t="s">
        <v>5</v>
      </c>
      <c r="B21" s="14">
        <v>0</v>
      </c>
      <c r="C21" s="14">
        <v>1</v>
      </c>
      <c r="D21" s="14">
        <v>2</v>
      </c>
      <c r="E21" s="14">
        <v>3</v>
      </c>
      <c r="F21" s="14">
        <v>4</v>
      </c>
      <c r="G21" s="14">
        <v>5</v>
      </c>
    </row>
    <row r="22" spans="1:7" ht="15.4" customHeight="1" thickBot="1" x14ac:dyDescent="0.3">
      <c r="A22" s="11" t="s">
        <v>6</v>
      </c>
      <c r="B22" s="15">
        <v>10000</v>
      </c>
      <c r="C22" s="15">
        <v>7500</v>
      </c>
      <c r="D22" s="15">
        <v>9000</v>
      </c>
      <c r="E22" s="15">
        <v>9500</v>
      </c>
      <c r="F22" s="15">
        <v>11500</v>
      </c>
      <c r="G22" s="15">
        <v>11750</v>
      </c>
    </row>
    <row r="23" spans="1:7" ht="15.4" customHeight="1" x14ac:dyDescent="0.25">
      <c r="A23" s="6" t="s">
        <v>15</v>
      </c>
      <c r="B23" s="6">
        <f>0%</f>
        <v>0</v>
      </c>
      <c r="C23" s="19">
        <f>(C22-B22)/B22</f>
        <v>-0.25</v>
      </c>
      <c r="D23" s="19">
        <f t="shared" ref="D23:G23" si="0">(D22-C22)/C22</f>
        <v>0.2</v>
      </c>
      <c r="E23" s="19">
        <f t="shared" si="0"/>
        <v>5.5555555555555552E-2</v>
      </c>
      <c r="F23" s="19">
        <f t="shared" si="0"/>
        <v>0.21052631578947367</v>
      </c>
      <c r="G23" s="19">
        <f t="shared" si="0"/>
        <v>2.1739130434782608E-2</v>
      </c>
    </row>
    <row r="24" spans="1:7" ht="15.4" customHeight="1" x14ac:dyDescent="0.25">
      <c r="A24" s="6" t="s">
        <v>17</v>
      </c>
      <c r="B24" s="19">
        <f>MAX(0,MIN(5%,B23))</f>
        <v>0</v>
      </c>
      <c r="C24" s="19">
        <f t="shared" ref="C24:G24" si="1">MAX(0,MIN(5%,C23))</f>
        <v>0</v>
      </c>
      <c r="D24" s="19">
        <f t="shared" si="1"/>
        <v>0.05</v>
      </c>
      <c r="E24" s="19">
        <f t="shared" si="1"/>
        <v>0.05</v>
      </c>
      <c r="F24" s="19">
        <f t="shared" si="1"/>
        <v>0.05</v>
      </c>
      <c r="G24" s="19">
        <f t="shared" si="1"/>
        <v>2.1739130434782608E-2</v>
      </c>
    </row>
    <row r="25" spans="1:7" ht="15.4" customHeight="1" x14ac:dyDescent="0.25">
      <c r="A25" s="6" t="s">
        <v>16</v>
      </c>
      <c r="B25" s="19">
        <f>MAX(0,B23*0.75)</f>
        <v>0</v>
      </c>
      <c r="C25" s="19">
        <f t="shared" ref="C25:G25" si="2">MAX(0,C23*0.75)</f>
        <v>0</v>
      </c>
      <c r="D25" s="19">
        <f t="shared" si="2"/>
        <v>0.15000000000000002</v>
      </c>
      <c r="E25" s="19">
        <f t="shared" si="2"/>
        <v>4.1666666666666664E-2</v>
      </c>
      <c r="F25" s="19">
        <f t="shared" si="2"/>
        <v>0.15789473684210525</v>
      </c>
      <c r="G25" s="19">
        <f t="shared" si="2"/>
        <v>1.6304347826086956E-2</v>
      </c>
    </row>
    <row r="26" spans="1:7" ht="15.4" customHeight="1" x14ac:dyDescent="0.25">
      <c r="A26" s="6" t="s">
        <v>20</v>
      </c>
      <c r="B26" s="20">
        <f>$B$10*(1+B24)</f>
        <v>1000</v>
      </c>
      <c r="C26" s="20">
        <f>B26*(1+C24)</f>
        <v>1000</v>
      </c>
      <c r="D26" s="20">
        <f t="shared" ref="D26:G26" si="3">C26*(1+D24)</f>
        <v>1050</v>
      </c>
      <c r="E26" s="20">
        <f t="shared" si="3"/>
        <v>1102.5</v>
      </c>
      <c r="F26" s="20">
        <f t="shared" si="3"/>
        <v>1157.625</v>
      </c>
      <c r="G26" s="20">
        <f t="shared" si="3"/>
        <v>1182.7907608695652</v>
      </c>
    </row>
    <row r="27" spans="1:7" ht="15.4" customHeight="1" x14ac:dyDescent="0.25">
      <c r="A27" s="6" t="s">
        <v>21</v>
      </c>
      <c r="B27" s="20">
        <f>$B$10*(1+B25)</f>
        <v>1000</v>
      </c>
      <c r="C27" s="20">
        <f>B27*(1+C25)</f>
        <v>1000</v>
      </c>
      <c r="D27" s="20">
        <f t="shared" ref="D27:G27" si="4">C27*(1+D25)</f>
        <v>1150</v>
      </c>
      <c r="E27" s="20">
        <f t="shared" si="4"/>
        <v>1197.9166666666667</v>
      </c>
      <c r="F27" s="20">
        <f>E27*(1+F25)</f>
        <v>1387.0614035087722</v>
      </c>
      <c r="G27" s="20">
        <f t="shared" si="4"/>
        <v>1409.6765350877195</v>
      </c>
    </row>
    <row r="28" spans="1:7" ht="15.4" customHeight="1" x14ac:dyDescent="0.25">
      <c r="B28" s="7"/>
    </row>
    <row r="29" spans="1:7" ht="15.4" customHeight="1" x14ac:dyDescent="0.25">
      <c r="A29" s="6" t="s">
        <v>18</v>
      </c>
      <c r="B29" s="7"/>
    </row>
    <row r="30" spans="1:7" ht="15.4" customHeight="1" x14ac:dyDescent="0.25">
      <c r="A30" s="6" t="s">
        <v>19</v>
      </c>
      <c r="B30" s="7"/>
    </row>
    <row r="31" spans="1:7" ht="15.4" customHeight="1" thickBot="1" x14ac:dyDescent="0.3">
      <c r="B31" s="7"/>
    </row>
    <row r="32" spans="1:7" ht="15.4" customHeight="1" thickBot="1" x14ac:dyDescent="0.3">
      <c r="D32" s="12" t="s">
        <v>9</v>
      </c>
      <c r="E32" s="21">
        <f>G26</f>
        <v>1182.7907608695652</v>
      </c>
    </row>
    <row r="33" spans="1:5" ht="15.4" customHeight="1" thickBot="1" x14ac:dyDescent="0.3">
      <c r="D33" s="12" t="s">
        <v>10</v>
      </c>
      <c r="E33" s="21">
        <f>G27</f>
        <v>1409.6765350877195</v>
      </c>
    </row>
    <row r="34" spans="1:5" ht="15.4" customHeight="1" x14ac:dyDescent="0.25">
      <c r="B34" s="12"/>
    </row>
    <row r="35" spans="1:5" ht="15.4" customHeight="1" x14ac:dyDescent="0.25">
      <c r="B35" s="7"/>
    </row>
    <row r="36" spans="1:5" ht="15.4" customHeight="1" x14ac:dyDescent="0.25">
      <c r="A36" s="4" t="s">
        <v>11</v>
      </c>
      <c r="B36" s="5"/>
      <c r="C36" s="5"/>
      <c r="D36" s="5"/>
      <c r="E36" s="5"/>
    </row>
  </sheetData>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B0F2E-35BA-41B8-948D-308EA3EC338A}">
  <dimension ref="A1:P56"/>
  <sheetViews>
    <sheetView topLeftCell="A4" zoomScale="85" zoomScaleNormal="85" workbookViewId="0">
      <selection activeCell="P46" sqref="P46"/>
    </sheetView>
  </sheetViews>
  <sheetFormatPr defaultColWidth="9.140625" defaultRowHeight="15" x14ac:dyDescent="0.25"/>
  <cols>
    <col min="1" max="1" width="30.28515625" style="6" customWidth="1"/>
    <col min="2" max="2" width="26.85546875" style="6" customWidth="1"/>
    <col min="3" max="3" width="17.7109375" style="6" customWidth="1"/>
    <col min="4" max="4" width="21.140625" style="6" customWidth="1"/>
    <col min="5" max="5" width="21.85546875" style="6" customWidth="1"/>
    <col min="6" max="6" width="19" style="6" customWidth="1"/>
    <col min="7" max="7" width="20.42578125" style="6" customWidth="1"/>
    <col min="8" max="8" width="20.85546875" style="6" customWidth="1"/>
    <col min="9" max="9" width="27.7109375" style="6" customWidth="1"/>
    <col min="10" max="10" width="22.5703125" style="6" customWidth="1"/>
    <col min="11" max="12" width="9.140625" style="6"/>
    <col min="13" max="13" width="24.7109375" style="6" customWidth="1"/>
    <col min="14" max="14" width="15.7109375" style="6" customWidth="1"/>
    <col min="15" max="16384" width="9.140625" style="6"/>
  </cols>
  <sheetData>
    <row r="1" spans="1:13" ht="17.45" x14ac:dyDescent="0.25">
      <c r="A1" s="2" t="s">
        <v>62</v>
      </c>
      <c r="B1" s="5"/>
      <c r="C1" s="5"/>
      <c r="D1" s="5"/>
      <c r="E1" s="5"/>
      <c r="F1" s="5"/>
      <c r="G1" s="2"/>
    </row>
    <row r="2" spans="1:13" ht="17.45" x14ac:dyDescent="0.25">
      <c r="A2" s="2"/>
      <c r="B2" s="5"/>
      <c r="C2" s="5"/>
      <c r="D2" s="5"/>
      <c r="E2" s="5"/>
      <c r="F2" s="5"/>
      <c r="G2" s="2"/>
    </row>
    <row r="3" spans="1:13" ht="52.5" customHeight="1" x14ac:dyDescent="0.25">
      <c r="A3" s="107" t="s">
        <v>61</v>
      </c>
      <c r="B3" s="107"/>
      <c r="C3" s="107"/>
      <c r="D3" s="107"/>
      <c r="E3" s="107"/>
      <c r="F3" s="107"/>
      <c r="G3" s="38"/>
    </row>
    <row r="4" spans="1:13" s="1" customFormat="1" ht="84.75" customHeight="1" x14ac:dyDescent="0.3">
      <c r="A4" s="34" t="s">
        <v>40</v>
      </c>
      <c r="B4" s="34" t="s">
        <v>39</v>
      </c>
      <c r="C4" s="34" t="s">
        <v>38</v>
      </c>
      <c r="D4" s="34" t="s">
        <v>37</v>
      </c>
      <c r="E4" s="34" t="s">
        <v>36</v>
      </c>
      <c r="F4" s="34" t="s">
        <v>35</v>
      </c>
      <c r="G4" s="34" t="s">
        <v>34</v>
      </c>
      <c r="H4"/>
      <c r="I4"/>
      <c r="J4"/>
      <c r="K4"/>
      <c r="L4"/>
      <c r="M4"/>
    </row>
    <row r="5" spans="1:13" s="1" customFormat="1" ht="20.25" customHeight="1" x14ac:dyDescent="0.3">
      <c r="A5" s="31">
        <v>68</v>
      </c>
      <c r="B5" s="30">
        <v>513</v>
      </c>
      <c r="C5" s="30">
        <v>510</v>
      </c>
      <c r="D5" s="30">
        <v>20</v>
      </c>
      <c r="E5" s="30">
        <v>55</v>
      </c>
      <c r="F5" s="30">
        <v>13</v>
      </c>
      <c r="G5" s="30">
        <v>70</v>
      </c>
      <c r="H5"/>
      <c r="I5"/>
      <c r="J5"/>
      <c r="K5"/>
      <c r="L5"/>
      <c r="M5"/>
    </row>
    <row r="6" spans="1:13" s="1" customFormat="1" ht="20.25" customHeight="1" x14ac:dyDescent="0.3">
      <c r="A6" s="31">
        <v>69</v>
      </c>
      <c r="B6" s="30">
        <v>528</v>
      </c>
      <c r="C6" s="30">
        <v>536</v>
      </c>
      <c r="D6" s="30">
        <v>15</v>
      </c>
      <c r="E6" s="30">
        <v>25</v>
      </c>
      <c r="F6" s="30">
        <v>7</v>
      </c>
      <c r="G6" s="30">
        <v>45</v>
      </c>
      <c r="H6"/>
      <c r="I6"/>
      <c r="J6"/>
      <c r="K6"/>
      <c r="L6"/>
      <c r="M6"/>
    </row>
    <row r="7" spans="1:13" s="8" customFormat="1" ht="15.6" x14ac:dyDescent="0.3">
      <c r="A7" s="31">
        <v>70</v>
      </c>
      <c r="B7" s="30">
        <v>544</v>
      </c>
      <c r="C7" s="30">
        <v>540</v>
      </c>
      <c r="D7" s="30">
        <v>10</v>
      </c>
      <c r="E7" s="30">
        <v>0</v>
      </c>
      <c r="F7" s="30">
        <v>0</v>
      </c>
      <c r="G7" s="30">
        <v>25</v>
      </c>
      <c r="H7"/>
      <c r="I7"/>
      <c r="J7"/>
      <c r="K7"/>
      <c r="L7"/>
      <c r="M7"/>
    </row>
    <row r="8" spans="1:13" s="8" customFormat="1" ht="15.6" x14ac:dyDescent="0.3">
      <c r="A8" s="43"/>
      <c r="B8" s="42"/>
      <c r="C8" s="42"/>
      <c r="D8" s="42"/>
      <c r="E8" s="42"/>
      <c r="F8" s="42"/>
      <c r="G8" s="42"/>
      <c r="H8"/>
      <c r="I8"/>
      <c r="J8"/>
      <c r="K8"/>
      <c r="L8"/>
      <c r="M8"/>
    </row>
    <row r="9" spans="1:13" s="8" customFormat="1" ht="36" customHeight="1" x14ac:dyDescent="0.3">
      <c r="A9" s="107" t="s">
        <v>60</v>
      </c>
      <c r="B9" s="107"/>
      <c r="C9" s="107"/>
      <c r="D9" s="107"/>
      <c r="E9" s="107"/>
      <c r="F9" s="107"/>
      <c r="G9" s="42"/>
      <c r="H9"/>
      <c r="I9"/>
      <c r="J9"/>
      <c r="K9"/>
      <c r="L9"/>
      <c r="M9"/>
    </row>
    <row r="10" spans="1:13" s="8" customFormat="1" ht="15.75" x14ac:dyDescent="0.25">
      <c r="A10" s="3" t="s">
        <v>59</v>
      </c>
      <c r="B10" s="42"/>
      <c r="C10" s="42"/>
      <c r="D10" s="42"/>
      <c r="E10" s="42"/>
      <c r="F10" s="42"/>
      <c r="G10" s="42"/>
      <c r="H10"/>
      <c r="I10"/>
      <c r="J10"/>
      <c r="K10"/>
      <c r="L10"/>
      <c r="M10"/>
    </row>
    <row r="11" spans="1:13" s="8" customFormat="1" ht="15.75" x14ac:dyDescent="0.25">
      <c r="A11" s="3" t="s">
        <v>58</v>
      </c>
      <c r="B11" s="42"/>
      <c r="C11" s="42"/>
      <c r="D11" s="42"/>
      <c r="E11" s="42"/>
      <c r="F11" s="42"/>
      <c r="G11" s="42"/>
      <c r="H11"/>
      <c r="I11"/>
      <c r="J11"/>
      <c r="K11"/>
      <c r="L11"/>
      <c r="M11"/>
    </row>
    <row r="12" spans="1:13" s="8" customFormat="1" ht="15.75" x14ac:dyDescent="0.25">
      <c r="A12" s="3" t="s">
        <v>57</v>
      </c>
      <c r="B12" s="39"/>
      <c r="C12" s="38"/>
      <c r="D12" s="3"/>
      <c r="E12" s="3"/>
      <c r="F12" s="3"/>
      <c r="G12" s="3"/>
      <c r="H12"/>
      <c r="I12"/>
      <c r="J12"/>
      <c r="K12"/>
      <c r="L12"/>
      <c r="M12"/>
    </row>
    <row r="13" spans="1:13" s="8" customFormat="1" ht="15.6" x14ac:dyDescent="0.3">
      <c r="A13" s="3"/>
      <c r="B13" s="39"/>
      <c r="C13" s="38"/>
      <c r="D13" s="3"/>
      <c r="E13" s="3"/>
      <c r="F13" s="3"/>
      <c r="G13" s="3"/>
      <c r="H13"/>
      <c r="I13"/>
      <c r="J13"/>
      <c r="K13"/>
      <c r="L13"/>
      <c r="M13"/>
    </row>
    <row r="14" spans="1:13" s="8" customFormat="1" ht="15.6" x14ac:dyDescent="0.3">
      <c r="A14" s="3" t="s">
        <v>56</v>
      </c>
      <c r="B14" s="39"/>
      <c r="C14" s="38"/>
      <c r="D14" s="3"/>
      <c r="E14" s="3"/>
      <c r="F14" s="3"/>
      <c r="G14" s="3"/>
      <c r="H14"/>
      <c r="I14"/>
      <c r="J14"/>
      <c r="K14"/>
      <c r="L14"/>
      <c r="M14"/>
    </row>
    <row r="15" spans="1:13" s="8" customFormat="1" ht="15.6" x14ac:dyDescent="0.3">
      <c r="A15" s="3"/>
      <c r="B15" s="39"/>
      <c r="C15" s="38"/>
      <c r="D15" s="3"/>
      <c r="E15" s="3"/>
      <c r="F15" s="3"/>
      <c r="G15" s="3"/>
      <c r="H15"/>
      <c r="I15"/>
      <c r="J15"/>
      <c r="K15"/>
      <c r="L15"/>
      <c r="M15"/>
    </row>
    <row r="16" spans="1:13" s="8" customFormat="1" ht="15.6" x14ac:dyDescent="0.3">
      <c r="A16" s="3" t="s">
        <v>55</v>
      </c>
      <c r="B16" s="39"/>
      <c r="C16" s="38"/>
      <c r="D16" s="3"/>
      <c r="E16" s="3"/>
      <c r="F16" s="3"/>
      <c r="G16" s="3"/>
      <c r="H16"/>
      <c r="I16"/>
      <c r="J16"/>
      <c r="K16"/>
      <c r="L16"/>
      <c r="M16"/>
    </row>
    <row r="17" spans="1:14" s="8" customFormat="1" ht="15.6" x14ac:dyDescent="0.3">
      <c r="A17" s="41"/>
      <c r="B17" s="39"/>
      <c r="C17" s="38"/>
      <c r="D17" s="3"/>
      <c r="E17" s="3"/>
      <c r="F17" s="3"/>
      <c r="G17" s="3"/>
      <c r="H17"/>
      <c r="I17"/>
      <c r="J17"/>
      <c r="K17"/>
      <c r="L17"/>
      <c r="M17"/>
    </row>
    <row r="18" spans="1:14" s="8" customFormat="1" ht="15.75" x14ac:dyDescent="0.25">
      <c r="A18" s="40" t="s">
        <v>54</v>
      </c>
      <c r="B18" s="39"/>
      <c r="C18" s="38"/>
      <c r="D18" s="3"/>
      <c r="E18" s="3"/>
      <c r="F18" s="3"/>
      <c r="G18" s="3"/>
      <c r="H18"/>
      <c r="I18"/>
      <c r="J18"/>
      <c r="K18"/>
      <c r="L18"/>
      <c r="M18"/>
    </row>
    <row r="19" spans="1:14" s="8" customFormat="1" ht="15.75" x14ac:dyDescent="0.25">
      <c r="A19" s="40" t="s">
        <v>53</v>
      </c>
      <c r="B19" s="39"/>
      <c r="C19" s="38"/>
      <c r="D19" s="3"/>
      <c r="E19" s="3"/>
      <c r="F19" s="3"/>
      <c r="G19" s="3"/>
      <c r="H19"/>
      <c r="I19"/>
      <c r="J19"/>
      <c r="K19"/>
      <c r="L19"/>
      <c r="M19"/>
    </row>
    <row r="20" spans="1:14" s="8" customFormat="1" ht="15.75" x14ac:dyDescent="0.25">
      <c r="A20" s="40" t="s">
        <v>52</v>
      </c>
      <c r="B20" s="39"/>
      <c r="C20" s="38"/>
      <c r="D20" s="3"/>
      <c r="E20" s="3"/>
      <c r="F20" s="3"/>
      <c r="G20" s="3"/>
      <c r="H20"/>
      <c r="I20"/>
      <c r="J20"/>
      <c r="K20"/>
      <c r="L20"/>
      <c r="M20"/>
    </row>
    <row r="21" spans="1:14" s="8" customFormat="1" ht="15.6" x14ac:dyDescent="0.3">
      <c r="A21"/>
      <c r="B21"/>
      <c r="C21"/>
      <c r="D21"/>
      <c r="E21"/>
      <c r="F21"/>
      <c r="G21"/>
      <c r="H21"/>
      <c r="I21"/>
      <c r="J21"/>
      <c r="K21"/>
      <c r="L21"/>
      <c r="M21"/>
    </row>
    <row r="22" spans="1:14" ht="15.75" x14ac:dyDescent="0.25">
      <c r="A22" s="1" t="s">
        <v>0</v>
      </c>
      <c r="B22"/>
      <c r="C22"/>
      <c r="D22"/>
      <c r="E22"/>
      <c r="F22"/>
      <c r="G22"/>
      <c r="H22"/>
      <c r="I22"/>
      <c r="J22"/>
      <c r="K22"/>
      <c r="L22"/>
      <c r="M22"/>
    </row>
    <row r="23" spans="1:14" x14ac:dyDescent="0.25">
      <c r="A23"/>
      <c r="B23"/>
      <c r="C23"/>
      <c r="D23"/>
      <c r="E23"/>
      <c r="F23"/>
      <c r="G23"/>
      <c r="H23"/>
      <c r="I23"/>
      <c r="J23"/>
      <c r="K23"/>
      <c r="L23"/>
      <c r="M23"/>
    </row>
    <row r="24" spans="1:14" ht="34.5" customHeight="1" x14ac:dyDescent="0.25">
      <c r="A24" s="108" t="s">
        <v>51</v>
      </c>
      <c r="B24" s="108"/>
      <c r="C24" s="108"/>
      <c r="D24" s="108"/>
      <c r="E24" s="108"/>
      <c r="F24" s="108"/>
      <c r="G24" s="108"/>
      <c r="H24" s="108"/>
      <c r="I24" s="108"/>
      <c r="J24" s="108"/>
      <c r="K24"/>
      <c r="L24"/>
      <c r="M24"/>
    </row>
    <row r="25" spans="1:14" x14ac:dyDescent="0.25">
      <c r="A25" s="37"/>
      <c r="B25"/>
      <c r="C25"/>
      <c r="D25"/>
      <c r="E25"/>
      <c r="F25"/>
      <c r="G25"/>
      <c r="H25"/>
      <c r="I25"/>
      <c r="J25"/>
      <c r="K25"/>
      <c r="L25"/>
      <c r="M25" s="36" t="s">
        <v>50</v>
      </c>
    </row>
    <row r="26" spans="1:14" x14ac:dyDescent="0.25">
      <c r="A26" t="s">
        <v>49</v>
      </c>
      <c r="B26"/>
      <c r="C26"/>
      <c r="D26"/>
      <c r="E26"/>
      <c r="F26"/>
      <c r="G26"/>
      <c r="H26"/>
      <c r="I26"/>
      <c r="J26"/>
      <c r="K26"/>
      <c r="L26"/>
      <c r="M26"/>
    </row>
    <row r="27" spans="1:14" x14ac:dyDescent="0.25">
      <c r="A27"/>
      <c r="B27"/>
      <c r="C27"/>
      <c r="D27"/>
      <c r="E27"/>
      <c r="F27"/>
      <c r="G27"/>
      <c r="H27"/>
      <c r="I27"/>
      <c r="J27"/>
      <c r="K27"/>
      <c r="L27"/>
      <c r="M27"/>
    </row>
    <row r="28" spans="1:14" x14ac:dyDescent="0.25">
      <c r="A28"/>
      <c r="B28" t="s">
        <v>48</v>
      </c>
      <c r="C28" s="29" t="s">
        <v>45</v>
      </c>
      <c r="D28"/>
      <c r="E28" s="29" t="s">
        <v>47</v>
      </c>
      <c r="F28" s="29" t="s">
        <v>46</v>
      </c>
      <c r="G28" s="29" t="s">
        <v>46</v>
      </c>
      <c r="H28" s="29" t="s">
        <v>45</v>
      </c>
      <c r="I28" s="29" t="s">
        <v>44</v>
      </c>
      <c r="J28"/>
      <c r="K28"/>
      <c r="L28"/>
      <c r="M28" s="27" t="s">
        <v>43</v>
      </c>
    </row>
    <row r="29" spans="1:14" x14ac:dyDescent="0.25">
      <c r="A29" s="29"/>
      <c r="B29"/>
      <c r="C29"/>
      <c r="D29"/>
      <c r="E29"/>
      <c r="F29"/>
      <c r="G29"/>
      <c r="H29"/>
      <c r="I29"/>
      <c r="J29"/>
      <c r="K29"/>
      <c r="L29"/>
      <c r="M29"/>
    </row>
    <row r="30" spans="1:14" ht="63" x14ac:dyDescent="0.25">
      <c r="A30" s="34" t="s">
        <v>40</v>
      </c>
      <c r="B30" s="34" t="s">
        <v>39</v>
      </c>
      <c r="C30" s="34" t="s">
        <v>38</v>
      </c>
      <c r="D30" s="34" t="s">
        <v>37</v>
      </c>
      <c r="E30" s="34" t="s">
        <v>36</v>
      </c>
      <c r="F30" s="34" t="s">
        <v>35</v>
      </c>
      <c r="G30" s="34" t="s">
        <v>34</v>
      </c>
      <c r="H30" s="32" t="s">
        <v>33</v>
      </c>
      <c r="I30" s="32" t="s">
        <v>32</v>
      </c>
      <c r="J30" s="32" t="s">
        <v>31</v>
      </c>
      <c r="K30"/>
      <c r="L30"/>
      <c r="M30" s="33" t="s">
        <v>32</v>
      </c>
      <c r="N30" s="32" t="s">
        <v>31</v>
      </c>
    </row>
    <row r="31" spans="1:14" x14ac:dyDescent="0.25">
      <c r="A31" s="30">
        <v>68</v>
      </c>
      <c r="B31" s="30">
        <v>513</v>
      </c>
      <c r="C31" s="30">
        <v>510</v>
      </c>
      <c r="D31" s="30">
        <v>20</v>
      </c>
      <c r="E31" s="30">
        <v>55</v>
      </c>
      <c r="F31" s="30">
        <v>13</v>
      </c>
      <c r="G31" s="30">
        <v>70</v>
      </c>
      <c r="H31" s="29">
        <f>C31*50</f>
        <v>25500</v>
      </c>
      <c r="I31" s="29">
        <f>B31*50</f>
        <v>25650</v>
      </c>
      <c r="J31" s="29" t="str">
        <f>IF(H31&lt;=I31,"Pass","Fail")</f>
        <v>Pass</v>
      </c>
      <c r="K31"/>
      <c r="L31"/>
      <c r="M31" s="29">
        <f t="shared" ref="M31:N33" si="0">I31</f>
        <v>25650</v>
      </c>
      <c r="N31" s="28" t="str">
        <f t="shared" si="0"/>
        <v>Pass</v>
      </c>
    </row>
    <row r="32" spans="1:14" x14ac:dyDescent="0.25">
      <c r="A32" s="30">
        <v>69</v>
      </c>
      <c r="B32" s="30">
        <v>528</v>
      </c>
      <c r="C32" s="30">
        <v>536</v>
      </c>
      <c r="D32" s="30">
        <v>15</v>
      </c>
      <c r="E32" s="30">
        <v>25</v>
      </c>
      <c r="F32" s="30">
        <v>7</v>
      </c>
      <c r="G32" s="30">
        <v>45</v>
      </c>
      <c r="H32" s="29">
        <f>C32*50</f>
        <v>26800</v>
      </c>
      <c r="I32" s="29">
        <f>B32*50</f>
        <v>26400</v>
      </c>
      <c r="J32" s="35" t="str">
        <f>IF(H32&lt;=I32,"Pass","Fail")</f>
        <v>Fail</v>
      </c>
      <c r="K32"/>
      <c r="L32"/>
      <c r="M32" s="29">
        <f t="shared" si="0"/>
        <v>26400</v>
      </c>
      <c r="N32" s="28" t="str">
        <f t="shared" si="0"/>
        <v>Fail</v>
      </c>
    </row>
    <row r="33" spans="1:14" x14ac:dyDescent="0.25">
      <c r="A33" s="30">
        <v>70</v>
      </c>
      <c r="B33" s="30">
        <v>544</v>
      </c>
      <c r="C33" s="30">
        <v>540</v>
      </c>
      <c r="D33" s="30">
        <v>10</v>
      </c>
      <c r="E33" s="30">
        <v>0</v>
      </c>
      <c r="F33" s="30">
        <v>0</v>
      </c>
      <c r="G33" s="30">
        <v>25</v>
      </c>
      <c r="H33" s="29">
        <f>C33*50</f>
        <v>27000</v>
      </c>
      <c r="I33" s="29">
        <f>B33*50</f>
        <v>27200</v>
      </c>
      <c r="J33" s="29" t="str">
        <f>IF(H33&lt;=I33,"Pass","Fail")</f>
        <v>Pass</v>
      </c>
      <c r="K33"/>
      <c r="L33"/>
      <c r="M33" s="29">
        <f t="shared" si="0"/>
        <v>27200</v>
      </c>
      <c r="N33" s="28" t="str">
        <f t="shared" si="0"/>
        <v>Pass</v>
      </c>
    </row>
    <row r="34" spans="1:14" x14ac:dyDescent="0.25">
      <c r="A34"/>
      <c r="B34"/>
      <c r="C34"/>
      <c r="D34"/>
      <c r="E34"/>
      <c r="F34"/>
      <c r="G34"/>
      <c r="H34"/>
      <c r="I34"/>
      <c r="J34"/>
      <c r="K34"/>
      <c r="L34"/>
      <c r="M34"/>
    </row>
    <row r="35" spans="1:14" x14ac:dyDescent="0.25">
      <c r="A35"/>
      <c r="B35"/>
      <c r="C35"/>
      <c r="D35"/>
      <c r="E35"/>
      <c r="F35"/>
      <c r="G35"/>
      <c r="H35"/>
      <c r="I35"/>
      <c r="J35"/>
      <c r="K35"/>
      <c r="L35"/>
      <c r="M35"/>
    </row>
    <row r="36" spans="1:14" x14ac:dyDescent="0.25">
      <c r="A36" t="s">
        <v>42</v>
      </c>
      <c r="B36"/>
      <c r="C36"/>
      <c r="D36"/>
      <c r="E36"/>
      <c r="F36"/>
      <c r="G36"/>
      <c r="H36"/>
      <c r="I36"/>
      <c r="J36"/>
      <c r="K36"/>
      <c r="L36"/>
      <c r="M36"/>
    </row>
    <row r="37" spans="1:14" x14ac:dyDescent="0.25">
      <c r="A37" s="29"/>
      <c r="B37"/>
      <c r="C37"/>
      <c r="D37"/>
      <c r="E37"/>
      <c r="F37"/>
      <c r="G37"/>
      <c r="H37"/>
      <c r="I37"/>
      <c r="J37"/>
      <c r="K37"/>
      <c r="L37"/>
      <c r="M37"/>
    </row>
    <row r="38" spans="1:14" ht="63" x14ac:dyDescent="0.25">
      <c r="A38" s="34" t="s">
        <v>40</v>
      </c>
      <c r="B38" s="34" t="s">
        <v>39</v>
      </c>
      <c r="C38" s="34" t="s">
        <v>38</v>
      </c>
      <c r="D38" s="34" t="s">
        <v>37</v>
      </c>
      <c r="E38" s="34" t="s">
        <v>36</v>
      </c>
      <c r="F38" s="34" t="s">
        <v>35</v>
      </c>
      <c r="G38" s="34" t="s">
        <v>34</v>
      </c>
      <c r="H38" s="32" t="s">
        <v>33</v>
      </c>
      <c r="I38" s="32" t="s">
        <v>32</v>
      </c>
      <c r="J38" s="32" t="s">
        <v>31</v>
      </c>
      <c r="K38"/>
      <c r="L38"/>
      <c r="M38" s="33" t="s">
        <v>32</v>
      </c>
      <c r="N38" s="32" t="s">
        <v>31</v>
      </c>
    </row>
    <row r="39" spans="1:14" x14ac:dyDescent="0.25">
      <c r="A39" s="30">
        <v>68</v>
      </c>
      <c r="B39" s="30">
        <v>513</v>
      </c>
      <c r="C39" s="30">
        <v>510</v>
      </c>
      <c r="D39" s="30">
        <v>20</v>
      </c>
      <c r="E39" s="30">
        <v>55</v>
      </c>
      <c r="F39" s="30">
        <v>13</v>
      </c>
      <c r="G39" s="30">
        <v>70</v>
      </c>
      <c r="H39" s="29">
        <f>C39*50</f>
        <v>25500</v>
      </c>
      <c r="I39" s="29">
        <f>(B39+F39)*50</f>
        <v>26300</v>
      </c>
      <c r="J39" s="29" t="str">
        <f>IF(H39&lt;=I39,"Pass","Fail")</f>
        <v>Pass</v>
      </c>
      <c r="K39"/>
      <c r="L39"/>
      <c r="M39" s="29">
        <f>B39*50+F39</f>
        <v>25663</v>
      </c>
      <c r="N39" s="28" t="str">
        <f>IF(H39&lt;=M39,"Pass","Fail")</f>
        <v>Pass</v>
      </c>
    </row>
    <row r="40" spans="1:14" x14ac:dyDescent="0.25">
      <c r="A40" s="30">
        <v>69</v>
      </c>
      <c r="B40" s="30">
        <v>528</v>
      </c>
      <c r="C40" s="30">
        <v>536</v>
      </c>
      <c r="D40" s="30">
        <v>15</v>
      </c>
      <c r="E40" s="30">
        <v>25</v>
      </c>
      <c r="F40" s="30">
        <v>7</v>
      </c>
      <c r="G40" s="30">
        <v>45</v>
      </c>
      <c r="H40" s="29">
        <f>C40*50</f>
        <v>26800</v>
      </c>
      <c r="I40" s="29">
        <f>(B40+F40)*50</f>
        <v>26750</v>
      </c>
      <c r="J40" s="35" t="str">
        <f>IF(H40&lt;=I40,"Pass","Fail")</f>
        <v>Fail</v>
      </c>
      <c r="K40"/>
      <c r="L40"/>
      <c r="M40" s="29">
        <f>B40*50+F40</f>
        <v>26407</v>
      </c>
      <c r="N40" s="28" t="str">
        <f>IF(H40&lt;=M40,"Pass","Fail")</f>
        <v>Fail</v>
      </c>
    </row>
    <row r="41" spans="1:14" x14ac:dyDescent="0.25">
      <c r="A41" s="30">
        <v>70</v>
      </c>
      <c r="B41" s="30">
        <v>544</v>
      </c>
      <c r="C41" s="30">
        <v>540</v>
      </c>
      <c r="D41" s="30">
        <v>10</v>
      </c>
      <c r="E41" s="30">
        <v>0</v>
      </c>
      <c r="F41" s="30">
        <v>0</v>
      </c>
      <c r="G41" s="30">
        <v>25</v>
      </c>
      <c r="H41" s="29">
        <f>C41*50</f>
        <v>27000</v>
      </c>
      <c r="I41" s="29">
        <f>(B41+F41)*50</f>
        <v>27200</v>
      </c>
      <c r="J41" s="29" t="str">
        <f>IF(H41&lt;=I41,"Pass","Fail")</f>
        <v>Pass</v>
      </c>
      <c r="K41"/>
      <c r="L41"/>
      <c r="M41" s="29">
        <f>B41*50+F41</f>
        <v>27200</v>
      </c>
      <c r="N41" s="28" t="str">
        <f>IF(H41&lt;=M41,"Pass","Fail")</f>
        <v>Pass</v>
      </c>
    </row>
    <row r="42" spans="1:14" x14ac:dyDescent="0.25">
      <c r="A42"/>
      <c r="B42"/>
      <c r="C42"/>
      <c r="D42"/>
      <c r="E42"/>
      <c r="F42"/>
      <c r="G42"/>
      <c r="H42" s="29"/>
      <c r="I42" s="29"/>
      <c r="J42"/>
      <c r="K42"/>
      <c r="L42"/>
      <c r="M42"/>
    </row>
    <row r="43" spans="1:14" x14ac:dyDescent="0.25">
      <c r="A43"/>
      <c r="B43"/>
      <c r="C43"/>
      <c r="D43"/>
      <c r="E43"/>
      <c r="F43"/>
      <c r="G43"/>
      <c r="H43" s="29"/>
      <c r="I43" s="29"/>
      <c r="J43"/>
      <c r="K43"/>
      <c r="L43"/>
      <c r="M43"/>
    </row>
    <row r="44" spans="1:14" x14ac:dyDescent="0.25">
      <c r="A44" t="s">
        <v>41</v>
      </c>
      <c r="B44"/>
      <c r="C44"/>
      <c r="D44"/>
      <c r="E44"/>
      <c r="F44"/>
      <c r="G44"/>
      <c r="H44" s="29"/>
      <c r="I44" s="29"/>
      <c r="J44"/>
      <c r="K44"/>
      <c r="L44"/>
      <c r="M44"/>
    </row>
    <row r="45" spans="1:14" x14ac:dyDescent="0.25">
      <c r="A45" s="29"/>
      <c r="B45"/>
      <c r="C45"/>
      <c r="D45"/>
      <c r="E45"/>
      <c r="F45"/>
      <c r="G45"/>
      <c r="H45" s="29"/>
      <c r="I45" s="29"/>
      <c r="J45"/>
      <c r="K45"/>
      <c r="L45"/>
      <c r="M45"/>
    </row>
    <row r="46" spans="1:14" ht="63" x14ac:dyDescent="0.25">
      <c r="A46" s="34" t="s">
        <v>40</v>
      </c>
      <c r="B46" s="34" t="s">
        <v>39</v>
      </c>
      <c r="C46" s="34" t="s">
        <v>38</v>
      </c>
      <c r="D46" s="34" t="s">
        <v>37</v>
      </c>
      <c r="E46" s="34" t="s">
        <v>36</v>
      </c>
      <c r="F46" s="34" t="s">
        <v>35</v>
      </c>
      <c r="G46" s="34" t="s">
        <v>34</v>
      </c>
      <c r="H46" s="32" t="s">
        <v>33</v>
      </c>
      <c r="I46" s="32" t="s">
        <v>32</v>
      </c>
      <c r="J46" s="32" t="s">
        <v>31</v>
      </c>
      <c r="K46"/>
      <c r="L46"/>
      <c r="M46" s="33" t="s">
        <v>32</v>
      </c>
      <c r="N46" s="32" t="s">
        <v>31</v>
      </c>
    </row>
    <row r="47" spans="1:14" x14ac:dyDescent="0.25">
      <c r="A47" s="31">
        <v>68</v>
      </c>
      <c r="B47" s="30">
        <v>513</v>
      </c>
      <c r="C47" s="30">
        <v>510</v>
      </c>
      <c r="D47" s="30">
        <v>20</v>
      </c>
      <c r="E47" s="30">
        <v>55</v>
      </c>
      <c r="F47" s="30">
        <v>13</v>
      </c>
      <c r="G47" s="30">
        <v>70</v>
      </c>
      <c r="H47" s="29">
        <f>C47*50</f>
        <v>25500</v>
      </c>
      <c r="I47" s="29">
        <f>(B47+G47)*50</f>
        <v>29150</v>
      </c>
      <c r="J47" s="29" t="str">
        <f>IF(H47&lt;=I47,"Pass","Fail")</f>
        <v>Pass</v>
      </c>
      <c r="K47"/>
      <c r="L47"/>
      <c r="M47" s="29">
        <f>B47*50+G47</f>
        <v>25720</v>
      </c>
      <c r="N47" s="28" t="str">
        <f>IF(H47&lt;=M47,"Pass","Fail")</f>
        <v>Pass</v>
      </c>
    </row>
    <row r="48" spans="1:14" x14ac:dyDescent="0.25">
      <c r="A48" s="31">
        <v>69</v>
      </c>
      <c r="B48" s="30">
        <v>528</v>
      </c>
      <c r="C48" s="30">
        <v>536</v>
      </c>
      <c r="D48" s="30">
        <v>15</v>
      </c>
      <c r="E48" s="30">
        <v>25</v>
      </c>
      <c r="F48" s="30">
        <v>7</v>
      </c>
      <c r="G48" s="30">
        <v>45</v>
      </c>
      <c r="H48" s="29">
        <f>C48*50</f>
        <v>26800</v>
      </c>
      <c r="I48" s="29">
        <f>(B48+G48)*50</f>
        <v>28650</v>
      </c>
      <c r="J48" s="29" t="str">
        <f>IF(H48&lt;=I48,"Pass","Fail")</f>
        <v>Pass</v>
      </c>
      <c r="K48"/>
      <c r="L48"/>
      <c r="M48" s="29">
        <f>B48*50+G48</f>
        <v>26445</v>
      </c>
      <c r="N48" s="28" t="str">
        <f>IF(H48&lt;=M48,"Pass","Fail")</f>
        <v>Fail</v>
      </c>
    </row>
    <row r="49" spans="1:16" x14ac:dyDescent="0.25">
      <c r="A49" s="31">
        <v>70</v>
      </c>
      <c r="B49" s="30">
        <v>544</v>
      </c>
      <c r="C49" s="30">
        <v>540</v>
      </c>
      <c r="D49" s="30">
        <v>10</v>
      </c>
      <c r="E49" s="30">
        <v>0</v>
      </c>
      <c r="F49" s="30">
        <v>0</v>
      </c>
      <c r="G49" s="30">
        <v>25</v>
      </c>
      <c r="H49" s="29">
        <f>C49*50</f>
        <v>27000</v>
      </c>
      <c r="I49" s="29">
        <f>(B49+G49)*50</f>
        <v>28450</v>
      </c>
      <c r="J49" s="29" t="str">
        <f>IF(H49&lt;=I49,"Pass","Fail")</f>
        <v>Pass</v>
      </c>
      <c r="K49"/>
      <c r="L49"/>
      <c r="M49" s="29">
        <f>B49*50+G49</f>
        <v>27225</v>
      </c>
      <c r="N49" s="28" t="str">
        <f>IF(H49&lt;=M49,"Pass","Fail")</f>
        <v>Pass</v>
      </c>
    </row>
    <row r="50" spans="1:16" x14ac:dyDescent="0.25">
      <c r="A50"/>
      <c r="B50"/>
      <c r="C50"/>
      <c r="D50"/>
      <c r="E50"/>
      <c r="F50"/>
      <c r="G50"/>
      <c r="H50"/>
      <c r="I50"/>
      <c r="J50"/>
      <c r="K50"/>
      <c r="L50"/>
      <c r="M50"/>
    </row>
    <row r="51" spans="1:16" x14ac:dyDescent="0.25">
      <c r="A51"/>
      <c r="B51"/>
      <c r="C51"/>
      <c r="D51"/>
      <c r="E51"/>
      <c r="F51"/>
      <c r="G51"/>
      <c r="H51"/>
      <c r="I51"/>
      <c r="J51"/>
      <c r="K51"/>
      <c r="L51"/>
      <c r="M51" s="27" t="s">
        <v>30</v>
      </c>
    </row>
    <row r="52" spans="1:16" ht="15.75" thickBot="1" x14ac:dyDescent="0.3">
      <c r="A52"/>
      <c r="B52"/>
      <c r="C52" t="s">
        <v>29</v>
      </c>
      <c r="D52"/>
      <c r="E52"/>
      <c r="F52"/>
      <c r="G52"/>
      <c r="H52"/>
      <c r="I52"/>
      <c r="J52"/>
      <c r="K52"/>
      <c r="L52"/>
      <c r="M52"/>
      <c r="N52"/>
      <c r="O52" t="s">
        <v>29</v>
      </c>
    </row>
    <row r="53" spans="1:16" x14ac:dyDescent="0.25">
      <c r="A53" t="s">
        <v>28</v>
      </c>
      <c r="B53" s="26" t="s">
        <v>23</v>
      </c>
      <c r="C53" t="s">
        <v>22</v>
      </c>
      <c r="D53"/>
      <c r="E53"/>
      <c r="F53"/>
      <c r="G53"/>
      <c r="H53"/>
      <c r="I53"/>
      <c r="J53"/>
      <c r="K53"/>
      <c r="L53"/>
      <c r="M53" s="23" t="s">
        <v>28</v>
      </c>
      <c r="N53" s="22" t="s">
        <v>23</v>
      </c>
      <c r="O53" s="23" t="s">
        <v>22</v>
      </c>
      <c r="P53" s="22"/>
    </row>
    <row r="54" spans="1:16" x14ac:dyDescent="0.25">
      <c r="A54" t="s">
        <v>27</v>
      </c>
      <c r="B54" s="25" t="s">
        <v>23</v>
      </c>
      <c r="C54" t="s">
        <v>22</v>
      </c>
      <c r="D54"/>
      <c r="E54"/>
      <c r="F54"/>
      <c r="G54"/>
      <c r="H54"/>
      <c r="I54"/>
      <c r="J54"/>
      <c r="K54"/>
      <c r="L54"/>
      <c r="M54" s="23" t="s">
        <v>27</v>
      </c>
      <c r="N54" s="22" t="s">
        <v>23</v>
      </c>
      <c r="O54" s="23" t="s">
        <v>22</v>
      </c>
      <c r="P54" s="22"/>
    </row>
    <row r="55" spans="1:16" ht="15.75" thickBot="1" x14ac:dyDescent="0.3">
      <c r="A55" t="s">
        <v>24</v>
      </c>
      <c r="B55" s="24" t="s">
        <v>26</v>
      </c>
      <c r="C55" t="s">
        <v>25</v>
      </c>
      <c r="M55" s="23" t="s">
        <v>24</v>
      </c>
      <c r="N55" s="22" t="s">
        <v>23</v>
      </c>
      <c r="O55" s="23" t="s">
        <v>22</v>
      </c>
      <c r="P55" s="22"/>
    </row>
    <row r="56" spans="1:16" x14ac:dyDescent="0.25">
      <c r="A56"/>
    </row>
  </sheetData>
  <mergeCells count="3">
    <mergeCell ref="A3:F3"/>
    <mergeCell ref="A9:F9"/>
    <mergeCell ref="A24:J24"/>
  </mergeCell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C3E12-01F3-4838-92FF-EAF59AE99D2B}">
  <dimension ref="A1:F56"/>
  <sheetViews>
    <sheetView topLeftCell="A35" workbookViewId="0"/>
  </sheetViews>
  <sheetFormatPr defaultColWidth="9.28515625" defaultRowHeight="15" x14ac:dyDescent="0.25"/>
  <cols>
    <col min="1" max="1" width="45.28515625" style="6" customWidth="1"/>
    <col min="2" max="2" width="15.7109375" style="6" customWidth="1"/>
    <col min="3" max="3" width="16.140625" style="6" customWidth="1"/>
    <col min="4" max="4" width="26.7109375" style="6" customWidth="1"/>
    <col min="5" max="5" width="21.7109375" style="6" customWidth="1"/>
    <col min="6" max="6" width="13.5703125" style="6" customWidth="1"/>
    <col min="7" max="16384" width="9.28515625" style="6"/>
  </cols>
  <sheetData>
    <row r="1" spans="1:6" ht="17.45" x14ac:dyDescent="0.25">
      <c r="A1" s="81" t="s">
        <v>109</v>
      </c>
      <c r="B1" s="80"/>
      <c r="C1" s="80"/>
      <c r="D1" s="80"/>
      <c r="E1" s="80"/>
      <c r="F1" s="80"/>
    </row>
    <row r="2" spans="1:6" ht="17.45" x14ac:dyDescent="0.25">
      <c r="A2" s="81"/>
      <c r="B2" s="80"/>
      <c r="C2" s="80"/>
      <c r="D2" s="80"/>
      <c r="E2" s="80"/>
      <c r="F2" s="80"/>
    </row>
    <row r="3" spans="1:6" ht="16.149999999999999" thickBot="1" x14ac:dyDescent="0.3">
      <c r="A3" s="109" t="s">
        <v>108</v>
      </c>
      <c r="B3" s="109"/>
      <c r="C3" s="109"/>
      <c r="D3" s="109"/>
      <c r="E3" s="109"/>
      <c r="F3" s="109"/>
    </row>
    <row r="4" spans="1:6" s="8" customFormat="1" ht="16.149999999999999" thickBot="1" x14ac:dyDescent="0.35">
      <c r="A4" s="68" t="s">
        <v>107</v>
      </c>
      <c r="B4" s="67" t="s">
        <v>106</v>
      </c>
      <c r="C4" s="55"/>
      <c r="D4" s="55"/>
      <c r="E4" s="55"/>
      <c r="F4" s="55"/>
    </row>
    <row r="5" spans="1:6" s="1" customFormat="1" ht="16.149999999999999" thickBot="1" x14ac:dyDescent="0.35">
      <c r="A5" s="62" t="s">
        <v>105</v>
      </c>
      <c r="B5" s="78">
        <v>35000</v>
      </c>
      <c r="C5" s="58"/>
      <c r="D5" s="73"/>
      <c r="E5" s="73"/>
      <c r="F5" s="73"/>
    </row>
    <row r="6" spans="1:6" s="1" customFormat="1" ht="16.149999999999999" thickBot="1" x14ac:dyDescent="0.35">
      <c r="A6" s="62" t="s">
        <v>66</v>
      </c>
      <c r="B6" s="61">
        <v>2.5000000000000001E-2</v>
      </c>
      <c r="C6" s="79"/>
      <c r="D6" s="73"/>
      <c r="E6" s="73"/>
      <c r="F6" s="73"/>
    </row>
    <row r="7" spans="1:6" s="1" customFormat="1" ht="16.149999999999999" thickBot="1" x14ac:dyDescent="0.35">
      <c r="A7" s="62" t="s">
        <v>104</v>
      </c>
      <c r="B7" s="78">
        <v>25000</v>
      </c>
      <c r="C7" s="57"/>
      <c r="D7" s="73"/>
      <c r="E7" s="73"/>
      <c r="F7" s="73"/>
    </row>
    <row r="8" spans="1:6" s="1" customFormat="1" ht="16.149999999999999" thickBot="1" x14ac:dyDescent="0.35">
      <c r="A8" s="62" t="s">
        <v>103</v>
      </c>
      <c r="B8" s="77">
        <v>0.05</v>
      </c>
      <c r="C8" s="73"/>
      <c r="D8" s="73"/>
      <c r="E8" s="73"/>
      <c r="F8" s="73"/>
    </row>
    <row r="9" spans="1:6" s="1" customFormat="1" ht="15.75" x14ac:dyDescent="0.25">
      <c r="A9" s="110" t="s">
        <v>102</v>
      </c>
      <c r="B9" s="65" t="s">
        <v>101</v>
      </c>
      <c r="C9" s="73"/>
      <c r="D9" s="73"/>
      <c r="E9" s="73"/>
      <c r="F9" s="73"/>
    </row>
    <row r="10" spans="1:6" s="1" customFormat="1" ht="15.75" x14ac:dyDescent="0.25">
      <c r="A10" s="111"/>
      <c r="B10" s="65" t="s">
        <v>100</v>
      </c>
      <c r="C10" s="73"/>
      <c r="D10" s="73"/>
      <c r="E10" s="73"/>
      <c r="F10" s="73"/>
    </row>
    <row r="11" spans="1:6" s="8" customFormat="1" ht="16.5" thickBot="1" x14ac:dyDescent="0.3">
      <c r="A11" s="112"/>
      <c r="B11" s="75" t="s">
        <v>99</v>
      </c>
      <c r="C11" s="76"/>
      <c r="D11" s="56"/>
      <c r="E11" s="56"/>
      <c r="F11" s="55"/>
    </row>
    <row r="12" spans="1:6" s="8" customFormat="1" ht="16.149999999999999" thickBot="1" x14ac:dyDescent="0.35">
      <c r="A12" s="62" t="s">
        <v>98</v>
      </c>
      <c r="B12" s="75">
        <v>150</v>
      </c>
      <c r="C12" s="74"/>
      <c r="D12" s="56"/>
      <c r="E12" s="56"/>
      <c r="F12" s="55"/>
    </row>
    <row r="13" spans="1:6" s="8" customFormat="1" ht="16.149999999999999" thickBot="1" x14ac:dyDescent="0.35">
      <c r="A13" s="68" t="s">
        <v>97</v>
      </c>
      <c r="B13" s="67" t="s">
        <v>96</v>
      </c>
      <c r="C13" s="55"/>
      <c r="D13" s="55"/>
      <c r="E13" s="55"/>
      <c r="F13" s="55"/>
    </row>
    <row r="14" spans="1:6" s="8" customFormat="1" ht="15.6" x14ac:dyDescent="0.3">
      <c r="A14" s="73"/>
      <c r="B14" s="73"/>
      <c r="C14" s="73"/>
      <c r="D14" s="56"/>
      <c r="E14" s="56"/>
      <c r="F14" s="55"/>
    </row>
    <row r="15" spans="1:6" s="8" customFormat="1" ht="16.149999999999999" thickBot="1" x14ac:dyDescent="0.35">
      <c r="A15" s="55" t="s">
        <v>95</v>
      </c>
      <c r="B15" s="73"/>
      <c r="C15" s="73"/>
      <c r="D15" s="56"/>
      <c r="E15" s="56"/>
      <c r="F15" s="55"/>
    </row>
    <row r="16" spans="1:6" s="8" customFormat="1" ht="16.149999999999999" thickBot="1" x14ac:dyDescent="0.35">
      <c r="A16" s="72" t="s">
        <v>5</v>
      </c>
      <c r="B16" s="71" t="s">
        <v>94</v>
      </c>
      <c r="C16" s="71" t="s">
        <v>93</v>
      </c>
      <c r="D16" s="71" t="s">
        <v>92</v>
      </c>
      <c r="E16" s="56"/>
      <c r="F16" s="55"/>
    </row>
    <row r="17" spans="1:6" s="8" customFormat="1" ht="16.149999999999999" thickBot="1" x14ac:dyDescent="0.35">
      <c r="A17" s="62">
        <v>1</v>
      </c>
      <c r="B17" s="70">
        <v>2000</v>
      </c>
      <c r="C17" s="69">
        <v>200</v>
      </c>
      <c r="D17" s="69">
        <v>10</v>
      </c>
      <c r="E17" s="56"/>
      <c r="F17" s="55"/>
    </row>
    <row r="18" spans="1:6" s="8" customFormat="1" ht="16.149999999999999" thickBot="1" x14ac:dyDescent="0.35">
      <c r="A18" s="62">
        <v>2</v>
      </c>
      <c r="B18" s="70">
        <v>7000</v>
      </c>
      <c r="C18" s="69">
        <v>250</v>
      </c>
      <c r="D18" s="69">
        <v>150</v>
      </c>
      <c r="E18" s="56"/>
      <c r="F18" s="55"/>
    </row>
    <row r="19" spans="1:6" s="8" customFormat="1" ht="16.149999999999999" thickBot="1" x14ac:dyDescent="0.35">
      <c r="A19" s="62">
        <v>3</v>
      </c>
      <c r="B19" s="70">
        <v>7500</v>
      </c>
      <c r="C19" s="69">
        <v>225</v>
      </c>
      <c r="D19" s="69">
        <v>200</v>
      </c>
      <c r="E19" s="56"/>
      <c r="F19" s="55"/>
    </row>
    <row r="20" spans="1:6" s="8" customFormat="1" ht="15.6" x14ac:dyDescent="0.3">
      <c r="A20" s="59"/>
      <c r="B20" s="58"/>
      <c r="C20" s="57"/>
      <c r="D20" s="57"/>
      <c r="E20" s="56"/>
      <c r="F20" s="55"/>
    </row>
    <row r="21" spans="1:6" s="8" customFormat="1" ht="15.6" x14ac:dyDescent="0.3">
      <c r="A21" s="109" t="s">
        <v>91</v>
      </c>
      <c r="B21" s="109"/>
      <c r="C21" s="109"/>
      <c r="D21" s="109"/>
      <c r="E21" s="109"/>
      <c r="F21" s="109"/>
    </row>
    <row r="22" spans="1:6" s="8" customFormat="1" ht="16.149999999999999" thickBot="1" x14ac:dyDescent="0.35">
      <c r="A22" s="59"/>
      <c r="B22" s="58"/>
      <c r="C22" s="57"/>
      <c r="D22" s="57"/>
      <c r="E22" s="56"/>
      <c r="F22" s="55"/>
    </row>
    <row r="23" spans="1:6" s="8" customFormat="1" ht="16.149999999999999" thickBot="1" x14ac:dyDescent="0.35">
      <c r="A23" s="68" t="s">
        <v>90</v>
      </c>
      <c r="B23" s="67">
        <v>0</v>
      </c>
      <c r="C23" s="57"/>
      <c r="D23" s="57"/>
      <c r="E23" s="56"/>
      <c r="F23" s="55"/>
    </row>
    <row r="24" spans="1:6" s="8" customFormat="1" ht="16.149999999999999" thickBot="1" x14ac:dyDescent="0.35">
      <c r="A24" s="66" t="s">
        <v>89</v>
      </c>
      <c r="B24" s="65">
        <v>0</v>
      </c>
      <c r="C24" s="57"/>
      <c r="D24" s="57"/>
      <c r="E24" s="56"/>
      <c r="F24" s="55"/>
    </row>
    <row r="25" spans="1:6" s="8" customFormat="1" ht="15.6" x14ac:dyDescent="0.3">
      <c r="A25" s="64" t="s">
        <v>88</v>
      </c>
      <c r="B25" s="63" t="s">
        <v>87</v>
      </c>
      <c r="C25" s="57"/>
      <c r="D25" s="57"/>
      <c r="E25" s="56"/>
      <c r="F25" s="55"/>
    </row>
    <row r="26" spans="1:6" s="8" customFormat="1" ht="16.149999999999999" thickBot="1" x14ac:dyDescent="0.35">
      <c r="A26" s="62"/>
      <c r="B26" s="61" t="s">
        <v>86</v>
      </c>
      <c r="C26" s="57"/>
      <c r="D26" s="57"/>
      <c r="E26" s="56"/>
      <c r="F26" s="55"/>
    </row>
    <row r="27" spans="1:6" s="8" customFormat="1" ht="15.6" x14ac:dyDescent="0.3">
      <c r="A27" s="59"/>
      <c r="B27" s="60"/>
      <c r="C27" s="57"/>
      <c r="D27" s="57"/>
      <c r="E27" s="56"/>
      <c r="F27" s="55"/>
    </row>
    <row r="28" spans="1:6" s="8" customFormat="1" ht="15.6" x14ac:dyDescent="0.3">
      <c r="A28" s="55" t="s">
        <v>85</v>
      </c>
      <c r="B28" s="58"/>
      <c r="C28" s="57"/>
      <c r="D28" s="57"/>
      <c r="E28" s="56"/>
      <c r="F28" s="55"/>
    </row>
    <row r="29" spans="1:6" s="8" customFormat="1" ht="15.6" x14ac:dyDescent="0.3">
      <c r="A29" s="59"/>
      <c r="B29" s="58"/>
      <c r="C29" s="57"/>
      <c r="D29" s="57"/>
      <c r="E29" s="56"/>
      <c r="F29" s="55"/>
    </row>
    <row r="31" spans="1:6" ht="15.6" x14ac:dyDescent="0.25">
      <c r="A31" s="1" t="s">
        <v>0</v>
      </c>
    </row>
    <row r="32" spans="1:6" ht="13.9" x14ac:dyDescent="0.25">
      <c r="B32" s="7"/>
    </row>
    <row r="33" spans="1:3" ht="14.45" thickBot="1" x14ac:dyDescent="0.3">
      <c r="A33" s="6" t="s">
        <v>84</v>
      </c>
      <c r="B33" s="7" t="s">
        <v>1</v>
      </c>
    </row>
    <row r="34" spans="1:3" ht="78.599999999999994" thickBot="1" x14ac:dyDescent="0.3">
      <c r="A34" s="54" t="s">
        <v>83</v>
      </c>
      <c r="B34" s="53"/>
      <c r="C34" s="53" t="s">
        <v>82</v>
      </c>
    </row>
    <row r="35" spans="1:3" ht="16.149999999999999" thickBot="1" x14ac:dyDescent="0.3">
      <c r="A35" s="49" t="s">
        <v>81</v>
      </c>
      <c r="B35" s="46">
        <f>(7*600000+B5)/1000</f>
        <v>4235</v>
      </c>
      <c r="C35" s="46">
        <f>(7*600000+B5)/1000</f>
        <v>4235</v>
      </c>
    </row>
    <row r="36" spans="1:3" ht="16.149999999999999" thickBot="1" x14ac:dyDescent="0.3">
      <c r="A36" s="49" t="s">
        <v>80</v>
      </c>
      <c r="B36" s="46">
        <f>75%* (B35-B5/1000)</f>
        <v>3150</v>
      </c>
      <c r="C36" s="46">
        <f>75%* (C35-B5/1000)</f>
        <v>3150</v>
      </c>
    </row>
    <row r="37" spans="1:3" ht="16.149999999999999" thickBot="1" x14ac:dyDescent="0.3">
      <c r="A37" s="49" t="s">
        <v>79</v>
      </c>
      <c r="B37" s="46">
        <f>B35-B36</f>
        <v>1085</v>
      </c>
      <c r="C37" s="46">
        <f>C35-C36</f>
        <v>1085</v>
      </c>
    </row>
    <row r="38" spans="1:3" ht="16.149999999999999" thickBot="1" x14ac:dyDescent="0.3">
      <c r="A38" s="49" t="s">
        <v>78</v>
      </c>
      <c r="B38" s="52">
        <f>((1-75%)*B17+D18)*5%</f>
        <v>32.5</v>
      </c>
      <c r="C38" s="52">
        <f>((1-75%)*B17+D18)*5%</f>
        <v>32.5</v>
      </c>
    </row>
    <row r="39" spans="1:3" ht="16.149999999999999" thickBot="1" x14ac:dyDescent="0.3">
      <c r="A39" s="49" t="s">
        <v>77</v>
      </c>
      <c r="B39" s="52">
        <f>B8*B36</f>
        <v>157.5</v>
      </c>
      <c r="C39" s="52">
        <f>B8*C36</f>
        <v>157.5</v>
      </c>
    </row>
    <row r="40" spans="1:3" ht="16.149999999999999" thickBot="1" x14ac:dyDescent="0.3">
      <c r="A40" s="47" t="s">
        <v>76</v>
      </c>
      <c r="B40" s="51">
        <f>SUM(B37:B39)</f>
        <v>1275</v>
      </c>
      <c r="C40" s="51">
        <f>SUM(C37:C39)</f>
        <v>1275</v>
      </c>
    </row>
    <row r="41" spans="1:3" ht="16.149999999999999" thickBot="1" x14ac:dyDescent="0.3">
      <c r="A41" s="49"/>
      <c r="B41" s="50"/>
      <c r="C41" s="50"/>
    </row>
    <row r="42" spans="1:3" ht="16.149999999999999" thickBot="1" x14ac:dyDescent="0.3">
      <c r="A42" s="47" t="s">
        <v>75</v>
      </c>
      <c r="B42" s="50"/>
      <c r="C42" s="50"/>
    </row>
    <row r="43" spans="1:3" ht="16.149999999999999" thickBot="1" x14ac:dyDescent="0.3">
      <c r="A43" s="49" t="s">
        <v>74</v>
      </c>
      <c r="B43" s="46">
        <f>C18+D18</f>
        <v>400</v>
      </c>
      <c r="C43" s="46">
        <f>C18+D18</f>
        <v>400</v>
      </c>
    </row>
    <row r="44" spans="1:3" ht="16.149999999999999" thickBot="1" x14ac:dyDescent="0.3">
      <c r="A44" s="49" t="s">
        <v>73</v>
      </c>
      <c r="B44" s="46">
        <f>75%*B43</f>
        <v>300</v>
      </c>
      <c r="C44" s="46">
        <f>75%*B43</f>
        <v>300</v>
      </c>
    </row>
    <row r="45" spans="1:3" ht="16.149999999999999" thickBot="1" x14ac:dyDescent="0.3">
      <c r="A45" s="49" t="s">
        <v>72</v>
      </c>
      <c r="B45" s="46">
        <f>B43-B44</f>
        <v>100</v>
      </c>
      <c r="C45" s="46">
        <f>C43-C44</f>
        <v>100</v>
      </c>
    </row>
    <row r="46" spans="1:3" ht="16.149999999999999" thickBot="1" x14ac:dyDescent="0.3">
      <c r="A46" s="49" t="s">
        <v>71</v>
      </c>
      <c r="B46" s="46">
        <f>B18-B17</f>
        <v>5000</v>
      </c>
      <c r="C46" s="46">
        <f>B18-B17</f>
        <v>5000</v>
      </c>
    </row>
    <row r="47" spans="1:3" ht="16.149999999999999" thickBot="1" x14ac:dyDescent="0.3">
      <c r="A47" s="49" t="s">
        <v>70</v>
      </c>
      <c r="B47" s="46">
        <f>75%*B46</f>
        <v>3750</v>
      </c>
      <c r="C47" s="46">
        <f>75%*B46</f>
        <v>3750</v>
      </c>
    </row>
    <row r="48" spans="1:3" ht="16.149999999999999" thickBot="1" x14ac:dyDescent="0.3">
      <c r="A48" s="49" t="s">
        <v>69</v>
      </c>
      <c r="B48" s="46">
        <f>B46-B47</f>
        <v>1250</v>
      </c>
      <c r="C48" s="46">
        <f>C46-C47</f>
        <v>1250</v>
      </c>
    </row>
    <row r="49" spans="1:5" ht="16.149999999999999" thickBot="1" x14ac:dyDescent="0.3">
      <c r="A49" s="49" t="s">
        <v>68</v>
      </c>
      <c r="B49" s="46">
        <f>10%*7* 600000/1000</f>
        <v>420.00000000000006</v>
      </c>
      <c r="C49" s="46">
        <f>10%*C35</f>
        <v>423.5</v>
      </c>
    </row>
    <row r="50" spans="1:5" ht="16.149999999999999" thickBot="1" x14ac:dyDescent="0.3">
      <c r="A50" s="49" t="s">
        <v>67</v>
      </c>
      <c r="B50" s="46">
        <f>B7/1000</f>
        <v>25</v>
      </c>
      <c r="C50" s="46">
        <f>B7/1000</f>
        <v>25</v>
      </c>
    </row>
    <row r="51" spans="1:5" ht="16.149999999999999" thickBot="1" x14ac:dyDescent="0.3">
      <c r="A51" s="49" t="s">
        <v>66</v>
      </c>
      <c r="B51" s="48">
        <f>2.5% *B35</f>
        <v>105.875</v>
      </c>
      <c r="C51" s="48">
        <f>2.5% *B35</f>
        <v>105.875</v>
      </c>
    </row>
    <row r="52" spans="1:5" ht="16.149999999999999" thickBot="1" x14ac:dyDescent="0.3">
      <c r="A52" s="47" t="s">
        <v>65</v>
      </c>
      <c r="B52" s="46">
        <f>B45+B48+B49+B50+B51</f>
        <v>1900.875</v>
      </c>
      <c r="C52" s="46">
        <f>C45+C48+C49+C50+C51</f>
        <v>1904.375</v>
      </c>
    </row>
    <row r="53" spans="1:5" ht="14.45" thickBot="1" x14ac:dyDescent="0.3">
      <c r="B53" s="7"/>
      <c r="C53" s="7"/>
    </row>
    <row r="54" spans="1:5" ht="14.45" thickBot="1" x14ac:dyDescent="0.3">
      <c r="A54" s="45" t="s">
        <v>64</v>
      </c>
      <c r="B54" s="44">
        <f>B40-B52</f>
        <v>-625.875</v>
      </c>
      <c r="C54" s="44">
        <f>C40-C52</f>
        <v>-629.375</v>
      </c>
    </row>
    <row r="56" spans="1:5" ht="15.75" x14ac:dyDescent="0.25">
      <c r="A56" s="4" t="s">
        <v>63</v>
      </c>
      <c r="B56" s="5"/>
      <c r="C56" s="5"/>
      <c r="D56" s="5"/>
      <c r="E56" s="5"/>
    </row>
  </sheetData>
  <mergeCells count="3">
    <mergeCell ref="A3:F3"/>
    <mergeCell ref="A9:A11"/>
    <mergeCell ref="A21:F2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C9D7E-5252-4FE6-B9D2-182A6CDEB6AA}">
  <dimension ref="A1:F59"/>
  <sheetViews>
    <sheetView topLeftCell="A44" workbookViewId="0">
      <selection activeCell="C35" sqref="C35"/>
    </sheetView>
  </sheetViews>
  <sheetFormatPr defaultColWidth="9.28515625" defaultRowHeight="15" x14ac:dyDescent="0.25"/>
  <cols>
    <col min="1" max="1" width="36.28515625" style="6" customWidth="1"/>
    <col min="2" max="2" width="15.7109375" style="6" customWidth="1"/>
    <col min="3" max="3" width="16" style="6" customWidth="1"/>
    <col min="4" max="4" width="26.7109375" style="6" customWidth="1"/>
    <col min="5" max="5" width="21.7109375" style="6" customWidth="1"/>
    <col min="6" max="6" width="13.5703125" style="6" customWidth="1"/>
    <col min="7" max="16384" width="9.28515625" style="6"/>
  </cols>
  <sheetData>
    <row r="1" spans="1:6" ht="17.45" x14ac:dyDescent="0.25">
      <c r="A1" s="81" t="s">
        <v>113</v>
      </c>
      <c r="B1" s="80"/>
      <c r="C1" s="80"/>
      <c r="D1" s="80"/>
      <c r="E1" s="80"/>
      <c r="F1" s="80"/>
    </row>
    <row r="2" spans="1:6" ht="17.45" x14ac:dyDescent="0.25">
      <c r="A2" s="81"/>
      <c r="B2" s="80"/>
      <c r="C2" s="80"/>
      <c r="D2" s="80"/>
      <c r="E2" s="80"/>
      <c r="F2" s="80"/>
    </row>
    <row r="3" spans="1:6" ht="16.5" customHeight="1" thickBot="1" x14ac:dyDescent="0.3">
      <c r="A3" s="109" t="s">
        <v>108</v>
      </c>
      <c r="B3" s="109"/>
      <c r="C3" s="109"/>
      <c r="D3" s="109"/>
      <c r="E3" s="109"/>
      <c r="F3" s="109"/>
    </row>
    <row r="4" spans="1:6" s="8" customFormat="1" ht="16.149999999999999" thickBot="1" x14ac:dyDescent="0.35">
      <c r="A4" s="68" t="s">
        <v>107</v>
      </c>
      <c r="B4" s="67" t="s">
        <v>106</v>
      </c>
      <c r="C4" s="55"/>
      <c r="D4" s="55"/>
      <c r="E4" s="55"/>
      <c r="F4" s="55"/>
    </row>
    <row r="5" spans="1:6" s="8" customFormat="1" ht="16.149999999999999" thickBot="1" x14ac:dyDescent="0.35">
      <c r="A5" s="62" t="s">
        <v>105</v>
      </c>
      <c r="B5" s="78">
        <v>35000</v>
      </c>
      <c r="C5" s="58"/>
      <c r="D5" s="73"/>
      <c r="E5" s="73"/>
      <c r="F5" s="73"/>
    </row>
    <row r="6" spans="1:6" s="1" customFormat="1" ht="16.149999999999999" thickBot="1" x14ac:dyDescent="0.35">
      <c r="A6" s="62" t="s">
        <v>66</v>
      </c>
      <c r="B6" s="61">
        <v>2.5000000000000001E-2</v>
      </c>
      <c r="C6" s="79"/>
      <c r="D6" s="73"/>
      <c r="E6" s="73"/>
      <c r="F6" s="73"/>
    </row>
    <row r="7" spans="1:6" s="1" customFormat="1" ht="16.149999999999999" thickBot="1" x14ac:dyDescent="0.35">
      <c r="A7" s="62" t="s">
        <v>104</v>
      </c>
      <c r="B7" s="78">
        <v>25000</v>
      </c>
      <c r="C7" s="57"/>
      <c r="D7" s="73"/>
      <c r="E7" s="73"/>
      <c r="F7" s="73"/>
    </row>
    <row r="8" spans="1:6" s="1" customFormat="1" ht="16.149999999999999" thickBot="1" x14ac:dyDescent="0.35">
      <c r="A8" s="62" t="s">
        <v>103</v>
      </c>
      <c r="B8" s="77">
        <v>0.05</v>
      </c>
      <c r="C8" s="73"/>
      <c r="D8" s="73"/>
      <c r="E8" s="73"/>
      <c r="F8" s="73"/>
    </row>
    <row r="9" spans="1:6" s="1" customFormat="1" ht="15.75" x14ac:dyDescent="0.25">
      <c r="A9" s="110" t="s">
        <v>102</v>
      </c>
      <c r="B9" s="65" t="s">
        <v>101</v>
      </c>
      <c r="C9" s="73"/>
      <c r="D9" s="73"/>
      <c r="E9" s="73"/>
      <c r="F9" s="73"/>
    </row>
    <row r="10" spans="1:6" s="1" customFormat="1" ht="15.75" x14ac:dyDescent="0.25">
      <c r="A10" s="111"/>
      <c r="B10" s="65" t="s">
        <v>100</v>
      </c>
      <c r="C10" s="73"/>
      <c r="D10" s="73"/>
      <c r="E10" s="73"/>
      <c r="F10" s="73"/>
    </row>
    <row r="11" spans="1:6" s="1" customFormat="1" ht="16.5" thickBot="1" x14ac:dyDescent="0.3">
      <c r="A11" s="112"/>
      <c r="B11" s="75" t="s">
        <v>99</v>
      </c>
      <c r="C11" s="76"/>
      <c r="D11" s="56"/>
      <c r="E11" s="56"/>
      <c r="F11" s="55"/>
    </row>
    <row r="12" spans="1:6" s="8" customFormat="1" ht="16.149999999999999" thickBot="1" x14ac:dyDescent="0.35">
      <c r="A12" s="62" t="s">
        <v>98</v>
      </c>
      <c r="B12" s="75">
        <v>150</v>
      </c>
      <c r="C12" s="74"/>
      <c r="D12" s="56"/>
      <c r="E12" s="56"/>
      <c r="F12" s="55"/>
    </row>
    <row r="13" spans="1:6" s="8" customFormat="1" ht="16.149999999999999" thickBot="1" x14ac:dyDescent="0.35">
      <c r="A13" s="68" t="s">
        <v>97</v>
      </c>
      <c r="B13" s="67" t="s">
        <v>96</v>
      </c>
      <c r="C13" s="55"/>
      <c r="D13" s="55"/>
      <c r="E13" s="55"/>
      <c r="F13" s="55"/>
    </row>
    <row r="14" spans="1:6" s="8" customFormat="1" ht="15.6" x14ac:dyDescent="0.3">
      <c r="A14" s="73"/>
      <c r="B14" s="73"/>
      <c r="C14" s="73"/>
      <c r="D14" s="56"/>
      <c r="E14" s="56"/>
      <c r="F14" s="55"/>
    </row>
    <row r="15" spans="1:6" s="8" customFormat="1" ht="16.149999999999999" thickBot="1" x14ac:dyDescent="0.35">
      <c r="A15" s="55" t="s">
        <v>95</v>
      </c>
      <c r="B15" s="73"/>
      <c r="C15" s="73"/>
      <c r="D15" s="56"/>
      <c r="E15" s="56"/>
      <c r="F15" s="55"/>
    </row>
    <row r="16" spans="1:6" s="8" customFormat="1" ht="16.149999999999999" thickBot="1" x14ac:dyDescent="0.35">
      <c r="A16" s="72" t="s">
        <v>5</v>
      </c>
      <c r="B16" s="71" t="s">
        <v>94</v>
      </c>
      <c r="C16" s="71" t="s">
        <v>93</v>
      </c>
      <c r="D16" s="71" t="s">
        <v>92</v>
      </c>
      <c r="E16" s="56"/>
      <c r="F16" s="55"/>
    </row>
    <row r="17" spans="1:6" s="8" customFormat="1" ht="16.149999999999999" thickBot="1" x14ac:dyDescent="0.35">
      <c r="A17" s="62">
        <v>1</v>
      </c>
      <c r="B17" s="70">
        <v>2000</v>
      </c>
      <c r="C17" s="69">
        <v>200</v>
      </c>
      <c r="D17" s="69">
        <v>10</v>
      </c>
      <c r="E17" s="56"/>
      <c r="F17" s="55"/>
    </row>
    <row r="18" spans="1:6" s="8" customFormat="1" ht="16.149999999999999" thickBot="1" x14ac:dyDescent="0.35">
      <c r="A18" s="62">
        <v>2</v>
      </c>
      <c r="B18" s="70">
        <v>7000</v>
      </c>
      <c r="C18" s="69">
        <v>250</v>
      </c>
      <c r="D18" s="69">
        <v>150</v>
      </c>
      <c r="E18" s="56"/>
      <c r="F18" s="55"/>
    </row>
    <row r="19" spans="1:6" s="8" customFormat="1" ht="16.149999999999999" thickBot="1" x14ac:dyDescent="0.35">
      <c r="A19" s="62">
        <v>3</v>
      </c>
      <c r="B19" s="70">
        <v>7500</v>
      </c>
      <c r="C19" s="69">
        <v>225</v>
      </c>
      <c r="D19" s="69">
        <v>200</v>
      </c>
      <c r="E19" s="56"/>
      <c r="F19" s="55"/>
    </row>
    <row r="20" spans="1:6" s="8" customFormat="1" ht="15.6" x14ac:dyDescent="0.3">
      <c r="A20" s="59"/>
      <c r="B20" s="58"/>
      <c r="C20" s="57"/>
      <c r="D20" s="57"/>
      <c r="E20" s="56"/>
      <c r="F20" s="55"/>
    </row>
    <row r="21" spans="1:6" s="8" customFormat="1" ht="15.6" x14ac:dyDescent="0.3">
      <c r="A21" s="109" t="s">
        <v>91</v>
      </c>
      <c r="B21" s="109"/>
      <c r="C21" s="109"/>
      <c r="D21" s="109"/>
      <c r="E21" s="109"/>
      <c r="F21" s="109"/>
    </row>
    <row r="22" spans="1:6" s="8" customFormat="1" ht="16.149999999999999" thickBot="1" x14ac:dyDescent="0.35">
      <c r="A22" s="59"/>
      <c r="B22" s="58"/>
      <c r="C22" s="57"/>
      <c r="D22" s="57"/>
      <c r="E22" s="56"/>
      <c r="F22" s="55"/>
    </row>
    <row r="23" spans="1:6" s="8" customFormat="1" ht="16.149999999999999" thickBot="1" x14ac:dyDescent="0.35">
      <c r="A23" s="68" t="s">
        <v>90</v>
      </c>
      <c r="B23" s="67">
        <v>0</v>
      </c>
      <c r="C23" s="57"/>
      <c r="D23" s="57"/>
      <c r="E23" s="56"/>
      <c r="F23" s="55"/>
    </row>
    <row r="24" spans="1:6" s="8" customFormat="1" ht="16.149999999999999" thickBot="1" x14ac:dyDescent="0.35">
      <c r="A24" s="66" t="s">
        <v>89</v>
      </c>
      <c r="B24" s="65">
        <v>0</v>
      </c>
      <c r="C24" s="57"/>
      <c r="D24" s="57"/>
      <c r="E24" s="56"/>
      <c r="F24" s="55"/>
    </row>
    <row r="25" spans="1:6" s="8" customFormat="1" ht="15.6" x14ac:dyDescent="0.3">
      <c r="A25" s="64" t="s">
        <v>88</v>
      </c>
      <c r="B25" s="63" t="s">
        <v>87</v>
      </c>
      <c r="C25" s="57"/>
      <c r="D25" s="57"/>
      <c r="E25" s="56"/>
      <c r="F25" s="55"/>
    </row>
    <row r="26" spans="1:6" s="8" customFormat="1" ht="16.149999999999999" thickBot="1" x14ac:dyDescent="0.35">
      <c r="A26" s="62"/>
      <c r="B26" s="61" t="s">
        <v>86</v>
      </c>
      <c r="C26" s="57"/>
      <c r="D26" s="57"/>
      <c r="E26" s="56"/>
      <c r="F26" s="55"/>
    </row>
    <row r="27" spans="1:6" s="8" customFormat="1" ht="15.6" x14ac:dyDescent="0.3">
      <c r="A27" s="59"/>
      <c r="B27" s="60"/>
      <c r="C27" s="57"/>
      <c r="D27" s="57"/>
      <c r="E27" s="56"/>
      <c r="F27" s="55"/>
    </row>
    <row r="28" spans="1:6" s="8" customFormat="1" ht="15.6" x14ac:dyDescent="0.3">
      <c r="A28" s="55" t="s">
        <v>112</v>
      </c>
      <c r="B28" s="58"/>
      <c r="C28" s="57"/>
      <c r="D28" s="57"/>
      <c r="E28" s="56"/>
      <c r="F28" s="55"/>
    </row>
    <row r="29" spans="1:6" s="8" customFormat="1" ht="15.6" x14ac:dyDescent="0.3">
      <c r="A29" s="59"/>
      <c r="B29" s="58"/>
      <c r="C29" s="57"/>
      <c r="D29" s="57"/>
      <c r="E29" s="56"/>
      <c r="F29" s="55"/>
    </row>
    <row r="31" spans="1:6" ht="15.6" x14ac:dyDescent="0.25">
      <c r="A31" s="1" t="s">
        <v>0</v>
      </c>
    </row>
    <row r="32" spans="1:6" ht="13.9" x14ac:dyDescent="0.25">
      <c r="B32" s="7"/>
    </row>
    <row r="33" spans="1:3" ht="14.45" thickBot="1" x14ac:dyDescent="0.3">
      <c r="A33" s="6" t="s">
        <v>111</v>
      </c>
      <c r="B33" s="7" t="s">
        <v>1</v>
      </c>
    </row>
    <row r="34" spans="1:3" ht="78.599999999999994" thickBot="1" x14ac:dyDescent="0.3">
      <c r="A34" s="54" t="s">
        <v>83</v>
      </c>
      <c r="B34" s="53"/>
      <c r="C34" s="53" t="s">
        <v>82</v>
      </c>
    </row>
    <row r="35" spans="1:3" ht="16.149999999999999" thickBot="1" x14ac:dyDescent="0.3">
      <c r="A35" s="49" t="s">
        <v>81</v>
      </c>
      <c r="B35" s="46">
        <f>(7*600000+B5)/1000</f>
        <v>4235</v>
      </c>
      <c r="C35" s="46">
        <f>(7*600000+B5)/1000</f>
        <v>4235</v>
      </c>
    </row>
    <row r="36" spans="1:3" ht="16.149999999999999" thickBot="1" x14ac:dyDescent="0.3">
      <c r="A36" s="49" t="s">
        <v>80</v>
      </c>
      <c r="B36" s="46">
        <f>75%* (B35-B5/1000)</f>
        <v>3150</v>
      </c>
      <c r="C36" s="46">
        <f>75%* (C35-B5/1000)</f>
        <v>3150</v>
      </c>
    </row>
    <row r="37" spans="1:3" ht="16.149999999999999" thickBot="1" x14ac:dyDescent="0.3">
      <c r="A37" s="49" t="s">
        <v>79</v>
      </c>
      <c r="B37" s="46">
        <f>B35-B36</f>
        <v>1085</v>
      </c>
      <c r="C37" s="46">
        <f>C35-C36</f>
        <v>1085</v>
      </c>
    </row>
    <row r="38" spans="1:3" ht="16.149999999999999" thickBot="1" x14ac:dyDescent="0.3">
      <c r="A38" s="49" t="s">
        <v>78</v>
      </c>
      <c r="B38" s="52">
        <f>(2000+150)* 5%</f>
        <v>107.5</v>
      </c>
      <c r="C38" s="52">
        <f>(2000+150)* 5%</f>
        <v>107.5</v>
      </c>
    </row>
    <row r="39" spans="1:3" ht="16.149999999999999" thickBot="1" x14ac:dyDescent="0.3">
      <c r="A39" s="49" t="s">
        <v>77</v>
      </c>
      <c r="B39" s="52">
        <f>B8*B36</f>
        <v>157.5</v>
      </c>
      <c r="C39" s="52">
        <f>B8*C36</f>
        <v>157.5</v>
      </c>
    </row>
    <row r="40" spans="1:3" ht="16.149999999999999" thickBot="1" x14ac:dyDescent="0.3">
      <c r="A40" s="49" t="s">
        <v>110</v>
      </c>
      <c r="B40" s="46">
        <f>B48-75%*B17*4%</f>
        <v>3690</v>
      </c>
      <c r="C40" s="46">
        <f>B48-75%*B17*4%</f>
        <v>3690</v>
      </c>
    </row>
    <row r="41" spans="1:3" ht="16.149999999999999" thickBot="1" x14ac:dyDescent="0.3">
      <c r="A41" s="47" t="s">
        <v>76</v>
      </c>
      <c r="B41" s="51">
        <f>SUM(B37:B40)</f>
        <v>5040</v>
      </c>
      <c r="C41" s="51">
        <f>SUM(C37:C40)</f>
        <v>5040</v>
      </c>
    </row>
    <row r="42" spans="1:3" ht="16.149999999999999" thickBot="1" x14ac:dyDescent="0.3">
      <c r="A42" s="49"/>
      <c r="B42" s="50"/>
      <c r="C42" s="50"/>
    </row>
    <row r="43" spans="1:3" ht="31.9" thickBot="1" x14ac:dyDescent="0.3">
      <c r="A43" s="47" t="s">
        <v>75</v>
      </c>
      <c r="B43" s="50"/>
      <c r="C43" s="50"/>
    </row>
    <row r="44" spans="1:3" ht="16.149999999999999" thickBot="1" x14ac:dyDescent="0.3">
      <c r="A44" s="49" t="s">
        <v>74</v>
      </c>
      <c r="B44" s="46">
        <f>C18+D18</f>
        <v>400</v>
      </c>
      <c r="C44" s="46">
        <f>C18+D18</f>
        <v>400</v>
      </c>
    </row>
    <row r="45" spans="1:3" ht="16.149999999999999" thickBot="1" x14ac:dyDescent="0.3">
      <c r="A45" s="49" t="s">
        <v>73</v>
      </c>
      <c r="B45" s="46">
        <f>75%*B44</f>
        <v>300</v>
      </c>
      <c r="C45" s="46">
        <f>75%*C44</f>
        <v>300</v>
      </c>
    </row>
    <row r="46" spans="1:3" ht="16.149999999999999" thickBot="1" x14ac:dyDescent="0.3">
      <c r="A46" s="49" t="s">
        <v>72</v>
      </c>
      <c r="B46" s="46">
        <f>B44-B45</f>
        <v>100</v>
      </c>
      <c r="C46" s="46">
        <f>C44-C45</f>
        <v>100</v>
      </c>
    </row>
    <row r="47" spans="1:3" ht="16.149999999999999" thickBot="1" x14ac:dyDescent="0.3">
      <c r="A47" s="49" t="s">
        <v>71</v>
      </c>
      <c r="B47" s="46">
        <f>B18-B17</f>
        <v>5000</v>
      </c>
      <c r="C47" s="46">
        <f>B18-B17</f>
        <v>5000</v>
      </c>
    </row>
    <row r="48" spans="1:3" ht="16.149999999999999" thickBot="1" x14ac:dyDescent="0.3">
      <c r="A48" s="49" t="s">
        <v>70</v>
      </c>
      <c r="B48" s="46">
        <f>75%*B47</f>
        <v>3750</v>
      </c>
      <c r="C48" s="46">
        <f>75%*B47</f>
        <v>3750</v>
      </c>
    </row>
    <row r="49" spans="1:5" ht="16.149999999999999" thickBot="1" x14ac:dyDescent="0.3">
      <c r="A49" s="49" t="s">
        <v>69</v>
      </c>
      <c r="B49" s="46">
        <f>B47-B48</f>
        <v>1250</v>
      </c>
      <c r="C49" s="46">
        <f>C47-C48</f>
        <v>1250</v>
      </c>
    </row>
    <row r="50" spans="1:5" ht="16.149999999999999" thickBot="1" x14ac:dyDescent="0.3">
      <c r="A50" s="49" t="s">
        <v>68</v>
      </c>
      <c r="B50" s="46">
        <f>10%*7* 600000/1000</f>
        <v>420.00000000000006</v>
      </c>
      <c r="C50" s="46">
        <f>10%*C35</f>
        <v>423.5</v>
      </c>
    </row>
    <row r="51" spans="1:5" ht="16.149999999999999" thickBot="1" x14ac:dyDescent="0.3">
      <c r="A51" s="49" t="s">
        <v>67</v>
      </c>
      <c r="B51" s="46">
        <f>B7/1000</f>
        <v>25</v>
      </c>
      <c r="C51" s="46">
        <f>B7/1000</f>
        <v>25</v>
      </c>
    </row>
    <row r="52" spans="1:5" ht="16.149999999999999" thickBot="1" x14ac:dyDescent="0.3">
      <c r="A52" s="49" t="s">
        <v>66</v>
      </c>
      <c r="B52" s="48">
        <f>2.5% *B35</f>
        <v>105.875</v>
      </c>
      <c r="C52" s="48">
        <f>2.5% *B35</f>
        <v>105.875</v>
      </c>
    </row>
    <row r="53" spans="1:5" ht="16.149999999999999" thickBot="1" x14ac:dyDescent="0.3">
      <c r="A53" s="47" t="s">
        <v>65</v>
      </c>
      <c r="B53" s="46">
        <f>B46+B47+B50+B51+B52</f>
        <v>5650.875</v>
      </c>
      <c r="C53" s="46">
        <f>C46+C47+C50+C51+C52</f>
        <v>5654.375</v>
      </c>
    </row>
    <row r="54" spans="1:5" ht="14.45" thickBot="1" x14ac:dyDescent="0.3">
      <c r="B54" s="7"/>
      <c r="C54" s="7"/>
    </row>
    <row r="55" spans="1:5" ht="14.45" thickBot="1" x14ac:dyDescent="0.3">
      <c r="A55" s="45" t="s">
        <v>64</v>
      </c>
      <c r="B55" s="44">
        <f>B41-B53</f>
        <v>-610.875</v>
      </c>
      <c r="C55" s="44">
        <f>C41-C53</f>
        <v>-614.375</v>
      </c>
    </row>
    <row r="59" spans="1:5" ht="15.6" x14ac:dyDescent="0.3">
      <c r="A59" s="4" t="s">
        <v>63</v>
      </c>
      <c r="B59" s="5"/>
      <c r="C59" s="5"/>
      <c r="D59" s="5"/>
      <c r="E59" s="5"/>
    </row>
  </sheetData>
  <mergeCells count="3">
    <mergeCell ref="A3:F3"/>
    <mergeCell ref="A9:A11"/>
    <mergeCell ref="A21:F21"/>
  </mergeCells>
  <pageMargins left="0.7" right="0.7" top="0.75" bottom="0.75" header="0.3" footer="0.3"/>
  <pageSetup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5E400-C48E-44A3-AEAC-79F9C84C8017}">
  <sheetPr>
    <tabColor theme="5" tint="0.79998168889431442"/>
  </sheetPr>
  <dimension ref="A1:P33"/>
  <sheetViews>
    <sheetView tabSelected="1" zoomScale="80" zoomScaleNormal="80" workbookViewId="0">
      <selection activeCell="F13" sqref="F13"/>
    </sheetView>
  </sheetViews>
  <sheetFormatPr defaultRowHeight="15" x14ac:dyDescent="0.25"/>
  <cols>
    <col min="3" max="3" width="18.5703125" customWidth="1"/>
    <col min="4" max="4" width="16.42578125" customWidth="1"/>
    <col min="7" max="7" width="20.5703125" customWidth="1"/>
    <col min="8" max="8" width="13.5703125" customWidth="1"/>
    <col min="9" max="9" width="13" customWidth="1"/>
    <col min="10" max="10" width="9.85546875" bestFit="1" customWidth="1"/>
    <col min="14" max="14" width="22.5703125" customWidth="1"/>
  </cols>
  <sheetData>
    <row r="1" spans="1:16" ht="48" thickBot="1" x14ac:dyDescent="0.3">
      <c r="B1" s="106"/>
      <c r="C1" s="105" t="s">
        <v>178</v>
      </c>
      <c r="D1" s="105" t="s">
        <v>177</v>
      </c>
      <c r="E1" s="105" t="s">
        <v>176</v>
      </c>
      <c r="F1" s="105" t="s">
        <v>175</v>
      </c>
      <c r="G1" s="105" t="s">
        <v>174</v>
      </c>
      <c r="H1" s="105" t="s">
        <v>173</v>
      </c>
      <c r="J1" s="104" t="s">
        <v>172</v>
      </c>
    </row>
    <row r="2" spans="1:16" ht="16.5" thickBot="1" x14ac:dyDescent="0.3">
      <c r="B2" s="103" t="s">
        <v>159</v>
      </c>
      <c r="C2" s="102">
        <v>0.04</v>
      </c>
      <c r="D2" s="99" t="s">
        <v>169</v>
      </c>
      <c r="E2" s="99">
        <v>5</v>
      </c>
      <c r="F2" s="101">
        <v>3.2000000000000001E-2</v>
      </c>
      <c r="G2" s="100">
        <v>1000</v>
      </c>
      <c r="H2" s="99" t="s">
        <v>171</v>
      </c>
      <c r="J2" s="98">
        <f>-PV(F2/2,E2*2,C2/2*G2,G2)</f>
        <v>1036.6940700022299</v>
      </c>
      <c r="K2" t="s">
        <v>170</v>
      </c>
    </row>
    <row r="3" spans="1:16" ht="16.5" thickBot="1" x14ac:dyDescent="0.3">
      <c r="B3" s="103" t="s">
        <v>158</v>
      </c>
      <c r="C3" s="102">
        <v>7.0000000000000007E-2</v>
      </c>
      <c r="D3" s="99" t="s">
        <v>169</v>
      </c>
      <c r="E3" s="99">
        <v>10</v>
      </c>
      <c r="F3" s="101">
        <v>4.5999999999999999E-2</v>
      </c>
      <c r="G3" s="100">
        <v>1000</v>
      </c>
      <c r="H3" s="99" t="s">
        <v>168</v>
      </c>
      <c r="J3" s="98">
        <f>-PV(F3/2,E3*2,C3/2*G3,G3)</f>
        <v>1190.6531923180407</v>
      </c>
    </row>
    <row r="7" spans="1:16" x14ac:dyDescent="0.25">
      <c r="C7" s="27" t="s">
        <v>159</v>
      </c>
      <c r="G7" s="27" t="s">
        <v>158</v>
      </c>
      <c r="N7" t="s">
        <v>167</v>
      </c>
    </row>
    <row r="8" spans="1:16" x14ac:dyDescent="0.25">
      <c r="C8" t="s">
        <v>166</v>
      </c>
      <c r="D8" s="97">
        <f>SUMPRODUCT(C14:C23,D14:D23)</f>
        <v>1036.6940700022296</v>
      </c>
      <c r="G8" t="s">
        <v>166</v>
      </c>
      <c r="H8" s="97">
        <f>SUMPRODUCT(G14:G33,H14:H33)</f>
        <v>1190.6531923180428</v>
      </c>
      <c r="N8" t="s">
        <v>165</v>
      </c>
      <c r="O8" s="92">
        <v>7.3</v>
      </c>
    </row>
    <row r="9" spans="1:16" x14ac:dyDescent="0.25">
      <c r="C9" t="s">
        <v>164</v>
      </c>
      <c r="D9" s="97">
        <f>SUM(E14:E23)</f>
        <v>4758.6539628651335</v>
      </c>
      <c r="G9" t="s">
        <v>164</v>
      </c>
      <c r="H9" s="97">
        <f>SUM(I14:I33)</f>
        <v>9055.6941531577322</v>
      </c>
    </row>
    <row r="10" spans="1:16" x14ac:dyDescent="0.25">
      <c r="C10" t="s">
        <v>163</v>
      </c>
      <c r="D10" s="96">
        <f>D9/D8</f>
        <v>4.5902201050063871</v>
      </c>
      <c r="G10" t="s">
        <v>163</v>
      </c>
      <c r="H10" s="96">
        <f>H9/H8</f>
        <v>7.6056522685060832</v>
      </c>
      <c r="O10" t="s">
        <v>162</v>
      </c>
      <c r="P10" t="s">
        <v>161</v>
      </c>
    </row>
    <row r="11" spans="1:16" x14ac:dyDescent="0.25">
      <c r="C11" t="s">
        <v>160</v>
      </c>
      <c r="D11" s="96">
        <f>D10/(1+F2/2)</f>
        <v>4.5179331742188849</v>
      </c>
      <c r="G11" t="s">
        <v>160</v>
      </c>
      <c r="H11" s="96">
        <f>H10/(1+F3/2)</f>
        <v>7.4346551989306784</v>
      </c>
      <c r="N11" t="s">
        <v>159</v>
      </c>
      <c r="O11" s="95">
        <f>D10</f>
        <v>4.5902201050063871</v>
      </c>
      <c r="P11" s="94">
        <v>0.1</v>
      </c>
    </row>
    <row r="12" spans="1:16" x14ac:dyDescent="0.25">
      <c r="N12" t="s">
        <v>158</v>
      </c>
      <c r="O12" s="95">
        <f>H10</f>
        <v>7.6056522685060832</v>
      </c>
      <c r="P12" s="94">
        <v>0.9</v>
      </c>
    </row>
    <row r="13" spans="1:16" x14ac:dyDescent="0.25">
      <c r="A13" t="s">
        <v>143</v>
      </c>
      <c r="C13" t="s">
        <v>157</v>
      </c>
      <c r="D13" t="s">
        <v>156</v>
      </c>
      <c r="E13" s="93" t="s">
        <v>155</v>
      </c>
      <c r="G13" t="s">
        <v>157</v>
      </c>
      <c r="H13" t="s">
        <v>156</v>
      </c>
      <c r="I13" s="93" t="s">
        <v>155</v>
      </c>
    </row>
    <row r="14" spans="1:16" x14ac:dyDescent="0.25">
      <c r="A14">
        <v>0.5</v>
      </c>
      <c r="B14">
        <f t="shared" ref="B14:B33" si="0">A14*2</f>
        <v>1</v>
      </c>
      <c r="C14">
        <f t="shared" ref="C14:C22" si="1">$C$2/2*$G$2</f>
        <v>20</v>
      </c>
      <c r="D14">
        <f t="shared" ref="D14:D23" si="2">1/(1+$F$2/2)^B14</f>
        <v>0.98425196850393704</v>
      </c>
      <c r="E14">
        <f t="shared" ref="E14:E23" si="3">A14*C14*D14</f>
        <v>9.8425196850393704</v>
      </c>
      <c r="G14">
        <f t="shared" ref="G14:G32" si="4">$C$3/2*$G$3</f>
        <v>35</v>
      </c>
      <c r="H14">
        <f t="shared" ref="H14:H33" si="5">1/(1+$F$3/2)^B14</f>
        <v>0.97751710654936474</v>
      </c>
      <c r="I14">
        <f t="shared" ref="I14:I33" si="6">A14*G14*H14</f>
        <v>17.106549364613883</v>
      </c>
      <c r="N14" t="s">
        <v>154</v>
      </c>
      <c r="P14" s="92">
        <f>O11*P11+O12*P12</f>
        <v>7.3041090521561136</v>
      </c>
    </row>
    <row r="15" spans="1:16" x14ac:dyDescent="0.25">
      <c r="A15">
        <f t="shared" ref="A15:A33" si="7">A14+0.5</f>
        <v>1</v>
      </c>
      <c r="B15">
        <f t="shared" si="0"/>
        <v>2</v>
      </c>
      <c r="C15">
        <f t="shared" si="1"/>
        <v>20</v>
      </c>
      <c r="D15">
        <f t="shared" si="2"/>
        <v>0.96875193750387489</v>
      </c>
      <c r="E15">
        <f t="shared" si="3"/>
        <v>19.375038750077497</v>
      </c>
      <c r="G15">
        <f t="shared" si="4"/>
        <v>35</v>
      </c>
      <c r="H15">
        <f t="shared" si="5"/>
        <v>0.95553969359664204</v>
      </c>
      <c r="I15">
        <f t="shared" si="6"/>
        <v>33.443889275882469</v>
      </c>
      <c r="N15" t="s">
        <v>153</v>
      </c>
      <c r="P15" s="91">
        <f>O8-P14</f>
        <v>-4.1090521561137905E-3</v>
      </c>
    </row>
    <row r="16" spans="1:16" x14ac:dyDescent="0.25">
      <c r="A16">
        <f t="shared" si="7"/>
        <v>1.5</v>
      </c>
      <c r="B16">
        <f t="shared" si="0"/>
        <v>3</v>
      </c>
      <c r="C16">
        <f t="shared" si="1"/>
        <v>20</v>
      </c>
      <c r="D16">
        <f t="shared" si="2"/>
        <v>0.95349600148019198</v>
      </c>
      <c r="E16">
        <f t="shared" si="3"/>
        <v>28.60488004440576</v>
      </c>
      <c r="G16">
        <f t="shared" si="4"/>
        <v>35</v>
      </c>
      <c r="H16">
        <f t="shared" si="5"/>
        <v>0.93405639647765604</v>
      </c>
      <c r="I16">
        <f t="shared" si="6"/>
        <v>49.037960815076943</v>
      </c>
    </row>
    <row r="17" spans="1:14" x14ac:dyDescent="0.25">
      <c r="A17">
        <f t="shared" si="7"/>
        <v>2</v>
      </c>
      <c r="B17">
        <f t="shared" si="0"/>
        <v>4</v>
      </c>
      <c r="C17">
        <f t="shared" si="1"/>
        <v>20</v>
      </c>
      <c r="D17">
        <f t="shared" si="2"/>
        <v>0.93848031641751173</v>
      </c>
      <c r="E17">
        <f t="shared" si="3"/>
        <v>37.539212656700471</v>
      </c>
      <c r="G17">
        <f t="shared" si="4"/>
        <v>35</v>
      </c>
      <c r="H17">
        <f t="shared" si="5"/>
        <v>0.91305610603876453</v>
      </c>
      <c r="I17">
        <f t="shared" si="6"/>
        <v>63.913927422713513</v>
      </c>
    </row>
    <row r="18" spans="1:14" x14ac:dyDescent="0.25">
      <c r="A18">
        <f t="shared" si="7"/>
        <v>2.5</v>
      </c>
      <c r="B18">
        <f t="shared" si="0"/>
        <v>5</v>
      </c>
      <c r="C18">
        <f t="shared" si="1"/>
        <v>20</v>
      </c>
      <c r="D18">
        <f t="shared" si="2"/>
        <v>0.92370109883613349</v>
      </c>
      <c r="E18">
        <f t="shared" si="3"/>
        <v>46.185054941806676</v>
      </c>
      <c r="G18">
        <f t="shared" si="4"/>
        <v>35</v>
      </c>
      <c r="H18">
        <f t="shared" si="5"/>
        <v>0.89252796289224312</v>
      </c>
      <c r="I18">
        <f t="shared" si="6"/>
        <v>78.096196753071268</v>
      </c>
      <c r="N18" t="s">
        <v>152</v>
      </c>
    </row>
    <row r="19" spans="1:14" x14ac:dyDescent="0.25">
      <c r="A19">
        <f t="shared" si="7"/>
        <v>3</v>
      </c>
      <c r="B19">
        <f t="shared" si="0"/>
        <v>6</v>
      </c>
      <c r="C19">
        <f t="shared" si="1"/>
        <v>20</v>
      </c>
      <c r="D19">
        <f t="shared" si="2"/>
        <v>0.90915462483871423</v>
      </c>
      <c r="E19">
        <f t="shared" si="3"/>
        <v>54.549277490322851</v>
      </c>
      <c r="G19">
        <f t="shared" si="4"/>
        <v>35</v>
      </c>
      <c r="H19">
        <f t="shared" si="5"/>
        <v>0.87246135180082407</v>
      </c>
      <c r="I19">
        <f t="shared" si="6"/>
        <v>91.608441939086532</v>
      </c>
      <c r="N19" t="s">
        <v>151</v>
      </c>
    </row>
    <row r="20" spans="1:14" x14ac:dyDescent="0.25">
      <c r="A20">
        <f t="shared" si="7"/>
        <v>3.5</v>
      </c>
      <c r="B20">
        <f t="shared" si="0"/>
        <v>7</v>
      </c>
      <c r="C20">
        <f t="shared" si="1"/>
        <v>20</v>
      </c>
      <c r="D20">
        <f t="shared" si="2"/>
        <v>0.89483722917196273</v>
      </c>
      <c r="E20">
        <f t="shared" si="3"/>
        <v>62.638606042037388</v>
      </c>
      <c r="G20">
        <f t="shared" si="4"/>
        <v>35</v>
      </c>
      <c r="H20">
        <f t="shared" si="5"/>
        <v>0.85284589618848905</v>
      </c>
      <c r="I20">
        <f t="shared" si="6"/>
        <v>104.47362228308991</v>
      </c>
    </row>
    <row r="21" spans="1:14" x14ac:dyDescent="0.25">
      <c r="A21">
        <f t="shared" si="7"/>
        <v>4</v>
      </c>
      <c r="B21">
        <f t="shared" si="0"/>
        <v>8</v>
      </c>
      <c r="C21">
        <f t="shared" si="1"/>
        <v>20</v>
      </c>
      <c r="D21">
        <f t="shared" si="2"/>
        <v>0.88074530430311293</v>
      </c>
      <c r="E21">
        <f t="shared" si="3"/>
        <v>70.459624344249036</v>
      </c>
      <c r="G21">
        <f t="shared" si="4"/>
        <v>35</v>
      </c>
      <c r="H21">
        <f t="shared" si="5"/>
        <v>0.8336714527746717</v>
      </c>
      <c r="I21">
        <f t="shared" si="6"/>
        <v>116.71400338845403</v>
      </c>
    </row>
    <row r="22" spans="1:14" x14ac:dyDescent="0.25">
      <c r="A22">
        <f t="shared" si="7"/>
        <v>4.5</v>
      </c>
      <c r="B22">
        <f t="shared" si="0"/>
        <v>9</v>
      </c>
      <c r="C22">
        <f t="shared" si="1"/>
        <v>20</v>
      </c>
      <c r="D22">
        <f t="shared" si="2"/>
        <v>0.86687529951093789</v>
      </c>
      <c r="E22">
        <f t="shared" si="3"/>
        <v>78.018776955984407</v>
      </c>
      <c r="G22">
        <f t="shared" si="4"/>
        <v>35</v>
      </c>
      <c r="H22">
        <f t="shared" si="5"/>
        <v>0.8149281063291024</v>
      </c>
      <c r="I22">
        <f t="shared" si="6"/>
        <v>128.35117674683363</v>
      </c>
    </row>
    <row r="23" spans="1:14" x14ac:dyDescent="0.25">
      <c r="A23">
        <f t="shared" si="7"/>
        <v>5</v>
      </c>
      <c r="B23">
        <f t="shared" si="0"/>
        <v>10</v>
      </c>
      <c r="C23">
        <f>$C$2/2*$G$2+1000</f>
        <v>1020</v>
      </c>
      <c r="D23">
        <f t="shared" si="2"/>
        <v>0.85322371999108049</v>
      </c>
      <c r="E23">
        <f t="shared" si="3"/>
        <v>4351.4409719545101</v>
      </c>
      <c r="G23">
        <f t="shared" si="4"/>
        <v>35</v>
      </c>
      <c r="H23">
        <f t="shared" si="5"/>
        <v>0.79660616454457722</v>
      </c>
      <c r="I23">
        <f t="shared" si="6"/>
        <v>139.40607879530103</v>
      </c>
    </row>
    <row r="24" spans="1:14" x14ac:dyDescent="0.25">
      <c r="A24">
        <f t="shared" si="7"/>
        <v>5.5</v>
      </c>
      <c r="B24">
        <f t="shared" si="0"/>
        <v>11</v>
      </c>
      <c r="G24">
        <f t="shared" si="4"/>
        <v>35</v>
      </c>
      <c r="H24">
        <f t="shared" si="5"/>
        <v>0.77869615302500217</v>
      </c>
      <c r="I24">
        <f t="shared" si="6"/>
        <v>149.89900945731293</v>
      </c>
    </row>
    <row r="25" spans="1:14" x14ac:dyDescent="0.25">
      <c r="A25">
        <f t="shared" si="7"/>
        <v>6</v>
      </c>
      <c r="B25">
        <f t="shared" si="0"/>
        <v>12</v>
      </c>
      <c r="G25">
        <f t="shared" si="4"/>
        <v>35</v>
      </c>
      <c r="H25">
        <f t="shared" si="5"/>
        <v>0.76118881038612141</v>
      </c>
      <c r="I25">
        <f t="shared" si="6"/>
        <v>159.84965018108551</v>
      </c>
    </row>
    <row r="26" spans="1:14" x14ac:dyDescent="0.25">
      <c r="A26">
        <f t="shared" si="7"/>
        <v>6.5</v>
      </c>
      <c r="B26">
        <f t="shared" si="0"/>
        <v>13</v>
      </c>
      <c r="G26">
        <f t="shared" si="4"/>
        <v>35</v>
      </c>
      <c r="H26">
        <f t="shared" si="5"/>
        <v>0.7440750834663945</v>
      </c>
      <c r="I26">
        <f t="shared" si="6"/>
        <v>169.27708148860475</v>
      </c>
    </row>
    <row r="27" spans="1:14" x14ac:dyDescent="0.25">
      <c r="A27">
        <f t="shared" si="7"/>
        <v>7</v>
      </c>
      <c r="B27">
        <f t="shared" si="0"/>
        <v>14</v>
      </c>
      <c r="G27">
        <f t="shared" si="4"/>
        <v>35</v>
      </c>
      <c r="H27">
        <f t="shared" si="5"/>
        <v>0.72734612264554688</v>
      </c>
      <c r="I27">
        <f t="shared" si="6"/>
        <v>178.19980004815898</v>
      </c>
    </row>
    <row r="28" spans="1:14" x14ac:dyDescent="0.25">
      <c r="A28">
        <f t="shared" si="7"/>
        <v>7.5</v>
      </c>
      <c r="B28">
        <f t="shared" si="0"/>
        <v>15</v>
      </c>
      <c r="G28">
        <f t="shared" si="4"/>
        <v>35</v>
      </c>
      <c r="H28">
        <f t="shared" si="5"/>
        <v>0.71099327726837447</v>
      </c>
      <c r="I28">
        <f t="shared" si="6"/>
        <v>186.6357352829483</v>
      </c>
    </row>
    <row r="29" spans="1:14" x14ac:dyDescent="0.25">
      <c r="A29">
        <f t="shared" si="7"/>
        <v>8</v>
      </c>
      <c r="B29">
        <f t="shared" si="0"/>
        <v>16</v>
      </c>
      <c r="G29">
        <f t="shared" si="4"/>
        <v>35</v>
      </c>
      <c r="H29">
        <f t="shared" si="5"/>
        <v>0.69500809117143159</v>
      </c>
      <c r="I29">
        <f t="shared" si="6"/>
        <v>194.60226552800086</v>
      </c>
    </row>
    <row r="30" spans="1:14" x14ac:dyDescent="0.25">
      <c r="A30">
        <f t="shared" si="7"/>
        <v>8.5</v>
      </c>
      <c r="B30">
        <f t="shared" si="0"/>
        <v>17</v>
      </c>
      <c r="G30">
        <f t="shared" si="4"/>
        <v>35</v>
      </c>
      <c r="H30">
        <f t="shared" si="5"/>
        <v>0.67938229831029495</v>
      </c>
      <c r="I30">
        <f t="shared" si="6"/>
        <v>202.11623374731275</v>
      </c>
    </row>
    <row r="31" spans="1:14" x14ac:dyDescent="0.25">
      <c r="A31">
        <f t="shared" si="7"/>
        <v>9</v>
      </c>
      <c r="B31">
        <f t="shared" si="0"/>
        <v>18</v>
      </c>
      <c r="G31">
        <f t="shared" si="4"/>
        <v>35</v>
      </c>
      <c r="H31">
        <f t="shared" si="5"/>
        <v>0.66410781848513678</v>
      </c>
      <c r="I31">
        <f t="shared" si="6"/>
        <v>209.19396282281809</v>
      </c>
    </row>
    <row r="32" spans="1:14" x14ac:dyDescent="0.25">
      <c r="A32">
        <f t="shared" si="7"/>
        <v>9.5</v>
      </c>
      <c r="B32">
        <f t="shared" si="0"/>
        <v>19</v>
      </c>
      <c r="G32">
        <f t="shared" si="4"/>
        <v>35</v>
      </c>
      <c r="H32">
        <f t="shared" si="5"/>
        <v>0.64917675316240164</v>
      </c>
      <c r="I32">
        <f t="shared" si="6"/>
        <v>215.85127042649856</v>
      </c>
    </row>
    <row r="33" spans="1:9" x14ac:dyDescent="0.25">
      <c r="A33">
        <f t="shared" si="7"/>
        <v>10</v>
      </c>
      <c r="B33">
        <f t="shared" si="0"/>
        <v>20</v>
      </c>
      <c r="G33">
        <f>$C$3/2*$G$3+1000</f>
        <v>1035</v>
      </c>
      <c r="H33">
        <f t="shared" si="5"/>
        <v>0.63458138139042197</v>
      </c>
      <c r="I33">
        <f t="shared" si="6"/>
        <v>6567.9172973908671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F7846-2F0C-4850-A4C2-B11FA619421C}">
  <dimension ref="A1:F64"/>
  <sheetViews>
    <sheetView workbookViewId="0">
      <selection activeCell="G3" sqref="G3"/>
    </sheetView>
  </sheetViews>
  <sheetFormatPr defaultColWidth="9.140625" defaultRowHeight="15" x14ac:dyDescent="0.25"/>
  <cols>
    <col min="1" max="1" width="20.140625" style="6" customWidth="1"/>
    <col min="2" max="2" width="22.85546875" style="6" customWidth="1"/>
    <col min="3" max="3" width="24.28515625" style="6" customWidth="1"/>
    <col min="4" max="4" width="23" style="6" customWidth="1"/>
    <col min="5" max="5" width="21.85546875" style="6" customWidth="1"/>
    <col min="6" max="6" width="13.5703125" style="6" customWidth="1"/>
    <col min="7" max="16384" width="9.140625" style="6"/>
  </cols>
  <sheetData>
    <row r="1" spans="1:6" ht="18.75" x14ac:dyDescent="0.25">
      <c r="A1" s="2" t="s">
        <v>150</v>
      </c>
      <c r="B1" s="5"/>
      <c r="C1" s="5"/>
      <c r="D1" s="5"/>
      <c r="E1" s="5"/>
      <c r="F1" s="5"/>
    </row>
    <row r="2" spans="1:6" ht="18.75" x14ac:dyDescent="0.25">
      <c r="A2" s="2"/>
      <c r="B2" s="5"/>
      <c r="C2" s="5"/>
      <c r="D2" s="5"/>
      <c r="E2" s="5"/>
      <c r="F2" s="5"/>
    </row>
    <row r="3" spans="1:6" ht="15.75" x14ac:dyDescent="0.25">
      <c r="A3" s="107" t="s">
        <v>149</v>
      </c>
      <c r="B3" s="107"/>
      <c r="C3" s="107"/>
      <c r="D3" s="107"/>
      <c r="E3" s="107"/>
      <c r="F3" s="107"/>
    </row>
    <row r="4" spans="1:6" s="1" customFormat="1" ht="15.75" x14ac:dyDescent="0.25">
      <c r="A4" s="3"/>
      <c r="B4" s="3"/>
      <c r="C4" s="3"/>
      <c r="D4" s="3"/>
      <c r="E4" s="3"/>
      <c r="F4" s="3"/>
    </row>
    <row r="5" spans="1:6" s="8" customFormat="1" ht="15.75" x14ac:dyDescent="0.25">
      <c r="A5" s="90" t="s">
        <v>148</v>
      </c>
      <c r="B5" s="9"/>
      <c r="C5" s="9"/>
      <c r="D5" s="9"/>
      <c r="E5" s="9"/>
      <c r="F5" s="9"/>
    </row>
    <row r="6" spans="1:6" s="8" customFormat="1" ht="15.75" x14ac:dyDescent="0.25">
      <c r="A6" s="90" t="s">
        <v>147</v>
      </c>
      <c r="B6" s="9"/>
      <c r="C6" s="9"/>
      <c r="D6" s="9"/>
      <c r="E6" s="9"/>
      <c r="F6" s="9"/>
    </row>
    <row r="7" spans="1:6" s="1" customFormat="1" ht="15.75" x14ac:dyDescent="0.25">
      <c r="A7" s="90" t="s">
        <v>146</v>
      </c>
      <c r="B7" s="3"/>
      <c r="C7" s="3"/>
      <c r="D7" s="3"/>
      <c r="E7" s="3"/>
      <c r="F7" s="3"/>
    </row>
    <row r="8" spans="1:6" s="1" customFormat="1" ht="15.75" x14ac:dyDescent="0.25">
      <c r="A8" s="90" t="s">
        <v>145</v>
      </c>
      <c r="B8" s="3"/>
      <c r="C8" s="3"/>
      <c r="D8" s="3"/>
      <c r="E8" s="3"/>
      <c r="F8" s="3"/>
    </row>
    <row r="9" spans="1:6" s="1" customFormat="1" ht="15.75" x14ac:dyDescent="0.25">
      <c r="A9" s="90" t="s">
        <v>144</v>
      </c>
      <c r="B9" s="3"/>
      <c r="C9" s="3"/>
      <c r="D9" s="3"/>
      <c r="E9" s="3"/>
      <c r="F9" s="3"/>
    </row>
    <row r="10" spans="1:6" s="1" customFormat="1" ht="15.75" customHeight="1" thickBot="1" x14ac:dyDescent="0.3">
      <c r="A10" s="3"/>
      <c r="B10" s="3"/>
      <c r="C10" s="3"/>
      <c r="D10" s="3"/>
      <c r="E10" s="3"/>
      <c r="F10" s="3"/>
    </row>
    <row r="11" spans="1:6" s="8" customFormat="1" ht="15.75" x14ac:dyDescent="0.25">
      <c r="A11" s="113" t="s">
        <v>143</v>
      </c>
      <c r="B11" s="113" t="s">
        <v>142</v>
      </c>
      <c r="C11" s="115">
        <v>1000</v>
      </c>
      <c r="D11" s="117"/>
      <c r="E11" s="10"/>
      <c r="F11" s="9"/>
    </row>
    <row r="12" spans="1:6" s="8" customFormat="1" ht="16.5" thickBot="1" x14ac:dyDescent="0.3">
      <c r="A12" s="114"/>
      <c r="B12" s="114"/>
      <c r="C12" s="116"/>
      <c r="D12" s="118"/>
      <c r="E12" s="10"/>
      <c r="F12" s="9"/>
    </row>
    <row r="13" spans="1:6" s="8" customFormat="1" ht="16.5" thickBot="1" x14ac:dyDescent="0.3">
      <c r="A13" s="89">
        <v>0</v>
      </c>
      <c r="B13" s="88">
        <v>1</v>
      </c>
      <c r="C13" s="88">
        <v>11.560700000000001</v>
      </c>
      <c r="D13" s="88">
        <v>8.5640999999999998</v>
      </c>
      <c r="E13" s="10"/>
      <c r="F13" s="9"/>
    </row>
    <row r="14" spans="1:6" s="8" customFormat="1" ht="16.5" thickBot="1" x14ac:dyDescent="0.3">
      <c r="A14" s="89">
        <v>1</v>
      </c>
      <c r="B14" s="88">
        <v>1.05</v>
      </c>
      <c r="C14" s="88">
        <v>10.9764</v>
      </c>
      <c r="D14" s="88">
        <v>7.8367000000000004</v>
      </c>
      <c r="E14" s="10"/>
      <c r="F14" s="9"/>
    </row>
    <row r="15" spans="1:6" s="8" customFormat="1" ht="16.5" thickBot="1" x14ac:dyDescent="0.3">
      <c r="A15" s="89">
        <v>2</v>
      </c>
      <c r="B15" s="88">
        <v>1.1299999999999999</v>
      </c>
      <c r="C15" s="88">
        <v>10.321300000000001</v>
      </c>
      <c r="D15" s="88">
        <v>7.0834000000000001</v>
      </c>
      <c r="E15" s="10"/>
      <c r="F15" s="9"/>
    </row>
    <row r="16" spans="1:6" s="8" customFormat="1" ht="16.5" thickBot="1" x14ac:dyDescent="0.3">
      <c r="A16" s="89">
        <v>3</v>
      </c>
      <c r="B16" s="88">
        <v>1.21</v>
      </c>
      <c r="C16" s="88">
        <v>9.5633999999999997</v>
      </c>
      <c r="D16" s="88">
        <v>6.3033999999999999</v>
      </c>
      <c r="E16" s="10"/>
      <c r="F16" s="9"/>
    </row>
    <row r="17" spans="1:6" s="8" customFormat="1" ht="16.5" thickBot="1" x14ac:dyDescent="0.3">
      <c r="A17" s="89">
        <v>4</v>
      </c>
      <c r="B17" s="88">
        <v>1.3</v>
      </c>
      <c r="C17" s="88">
        <v>8.6986000000000008</v>
      </c>
      <c r="D17" s="88">
        <v>5.4957000000000003</v>
      </c>
      <c r="E17" s="10"/>
      <c r="F17" s="9"/>
    </row>
    <row r="18" spans="1:6" s="8" customFormat="1" ht="15.75" x14ac:dyDescent="0.25">
      <c r="A18" s="39"/>
      <c r="B18" s="10"/>
      <c r="C18" s="10"/>
      <c r="D18" s="9"/>
      <c r="E18" s="10"/>
      <c r="F18" s="9"/>
    </row>
    <row r="19" spans="1:6" s="8" customFormat="1" ht="15.75" x14ac:dyDescent="0.25">
      <c r="A19" s="3" t="s">
        <v>141</v>
      </c>
      <c r="B19" s="10"/>
      <c r="C19" s="10"/>
      <c r="D19" s="9"/>
      <c r="E19" s="10"/>
      <c r="F19" s="9"/>
    </row>
    <row r="20" spans="1:6" s="8" customFormat="1" ht="15.75" x14ac:dyDescent="0.25">
      <c r="A20" s="87" t="s">
        <v>140</v>
      </c>
      <c r="B20" s="10"/>
      <c r="C20" s="10"/>
      <c r="D20" s="9"/>
      <c r="E20" s="10"/>
      <c r="F20" s="9"/>
    </row>
    <row r="21" spans="1:6" s="8" customFormat="1" ht="15.75" x14ac:dyDescent="0.25">
      <c r="A21" s="87" t="s">
        <v>139</v>
      </c>
      <c r="B21" s="10"/>
      <c r="C21" s="10"/>
      <c r="D21" s="9"/>
      <c r="E21" s="10"/>
      <c r="F21" s="9"/>
    </row>
    <row r="22" spans="1:6" s="8" customFormat="1" ht="18.75" x14ac:dyDescent="0.25">
      <c r="A22" s="87" t="s">
        <v>138</v>
      </c>
      <c r="B22" s="10"/>
      <c r="C22" s="10"/>
      <c r="D22" s="9"/>
      <c r="E22" s="10"/>
      <c r="F22" s="9"/>
    </row>
    <row r="23" spans="1:6" s="8" customFormat="1" ht="28.5" customHeight="1" x14ac:dyDescent="0.25">
      <c r="A23" s="87" t="s">
        <v>137</v>
      </c>
      <c r="B23" s="10"/>
      <c r="C23" s="10"/>
      <c r="D23" s="9"/>
      <c r="E23" s="10"/>
      <c r="F23" s="9"/>
    </row>
    <row r="24" spans="1:6" s="8" customFormat="1" ht="15.75" x14ac:dyDescent="0.25">
      <c r="A24" s="87" t="s">
        <v>136</v>
      </c>
      <c r="B24" s="10"/>
      <c r="C24" s="10"/>
      <c r="D24" s="9"/>
      <c r="E24" s="10"/>
      <c r="F24" s="9"/>
    </row>
    <row r="25" spans="1:6" s="8" customFormat="1" ht="15.75" x14ac:dyDescent="0.25">
      <c r="A25" s="39"/>
      <c r="B25" s="10"/>
      <c r="C25" s="10"/>
      <c r="D25" s="9"/>
      <c r="E25" s="10"/>
      <c r="F25" s="9"/>
    </row>
    <row r="26" spans="1:6" s="8" customFormat="1" ht="15.75" x14ac:dyDescent="0.25">
      <c r="A26" s="86" t="s">
        <v>135</v>
      </c>
      <c r="B26" s="85"/>
      <c r="C26" s="38"/>
      <c r="D26" s="38"/>
      <c r="E26" s="10"/>
      <c r="F26" s="9"/>
    </row>
    <row r="27" spans="1:6" s="8" customFormat="1" ht="15.75" x14ac:dyDescent="0.25">
      <c r="A27" s="86"/>
      <c r="B27" s="85"/>
      <c r="C27" s="38"/>
      <c r="D27" s="38"/>
      <c r="E27" s="10"/>
      <c r="F27" s="9"/>
    </row>
    <row r="28" spans="1:6" s="8" customFormat="1" ht="15.75" x14ac:dyDescent="0.25">
      <c r="A28" s="9" t="s">
        <v>134</v>
      </c>
      <c r="B28" s="85"/>
      <c r="C28" s="38"/>
      <c r="D28" s="38"/>
      <c r="E28" s="10"/>
      <c r="F28" s="9"/>
    </row>
    <row r="29" spans="1:6" s="8" customFormat="1" ht="15.75" x14ac:dyDescent="0.25">
      <c r="A29" s="9"/>
      <c r="B29" s="85"/>
      <c r="C29" s="38"/>
      <c r="D29" s="38"/>
      <c r="E29" s="10"/>
      <c r="F29" s="9"/>
    </row>
    <row r="30" spans="1:6" s="8" customFormat="1" ht="15.75" x14ac:dyDescent="0.25">
      <c r="A30" s="9" t="s">
        <v>133</v>
      </c>
      <c r="B30" s="85"/>
      <c r="C30" s="38"/>
      <c r="D30" s="38"/>
      <c r="E30" s="10"/>
      <c r="F30" s="9"/>
    </row>
    <row r="32" spans="1:6" ht="15.75" x14ac:dyDescent="0.25">
      <c r="A32" s="1" t="s">
        <v>0</v>
      </c>
    </row>
    <row r="33" spans="1:3" x14ac:dyDescent="0.25">
      <c r="B33" s="7"/>
    </row>
    <row r="34" spans="1:3" x14ac:dyDescent="0.25">
      <c r="A34" s="6" t="s">
        <v>132</v>
      </c>
      <c r="B34" s="84" t="s">
        <v>131</v>
      </c>
    </row>
    <row r="35" spans="1:3" x14ac:dyDescent="0.25">
      <c r="B35" s="12" t="s">
        <v>122</v>
      </c>
      <c r="C35" s="83">
        <f>C13/D13</f>
        <v>1.3499024999708085</v>
      </c>
    </row>
    <row r="36" spans="1:3" x14ac:dyDescent="0.25">
      <c r="B36" s="7"/>
    </row>
    <row r="37" spans="1:3" x14ac:dyDescent="0.25">
      <c r="B37" s="84" t="s">
        <v>130</v>
      </c>
    </row>
    <row r="38" spans="1:3" x14ac:dyDescent="0.25">
      <c r="B38" s="12" t="s">
        <v>119</v>
      </c>
      <c r="C38" s="83">
        <f>C15</f>
        <v>10.321300000000001</v>
      </c>
    </row>
    <row r="39" spans="1:3" x14ac:dyDescent="0.25">
      <c r="B39" s="12" t="s">
        <v>118</v>
      </c>
      <c r="C39" s="83">
        <f>C35*D15</f>
        <v>9.5618993682932256</v>
      </c>
    </row>
    <row r="40" spans="1:3" x14ac:dyDescent="0.25">
      <c r="B40" s="12" t="s">
        <v>117</v>
      </c>
      <c r="C40" s="83">
        <f>C38-C39</f>
        <v>0.75940063170677519</v>
      </c>
    </row>
    <row r="41" spans="1:3" x14ac:dyDescent="0.25">
      <c r="B41" s="12" t="s">
        <v>116</v>
      </c>
      <c r="C41" s="83">
        <f>C40*50000/1000</f>
        <v>37.970031585338759</v>
      </c>
    </row>
    <row r="42" spans="1:3" x14ac:dyDescent="0.25">
      <c r="B42" s="7"/>
    </row>
    <row r="43" spans="1:3" x14ac:dyDescent="0.25">
      <c r="B43" s="7"/>
    </row>
    <row r="44" spans="1:3" ht="15.75" thickBot="1" x14ac:dyDescent="0.3">
      <c r="B44" s="7"/>
    </row>
    <row r="45" spans="1:3" ht="15.75" thickBot="1" x14ac:dyDescent="0.3">
      <c r="A45" s="45" t="s">
        <v>129</v>
      </c>
      <c r="B45" s="82">
        <f>C41</f>
        <v>37.970031585338759</v>
      </c>
    </row>
    <row r="47" spans="1:3" x14ac:dyDescent="0.25">
      <c r="A47" s="6" t="s">
        <v>128</v>
      </c>
      <c r="B47" s="84" t="s">
        <v>127</v>
      </c>
    </row>
    <row r="48" spans="1:3" x14ac:dyDescent="0.25">
      <c r="B48" s="12" t="s">
        <v>126</v>
      </c>
      <c r="C48" s="83">
        <f>B13/1.04</f>
        <v>0.96153846153846145</v>
      </c>
    </row>
    <row r="49" spans="1:5" x14ac:dyDescent="0.25">
      <c r="B49" s="12" t="s">
        <v>125</v>
      </c>
      <c r="C49" s="83">
        <f>C14/D14-C48</f>
        <v>0.4391021142140874</v>
      </c>
    </row>
    <row r="50" spans="1:5" x14ac:dyDescent="0.25">
      <c r="B50" s="7"/>
    </row>
    <row r="51" spans="1:5" x14ac:dyDescent="0.25">
      <c r="B51" s="84" t="s">
        <v>124</v>
      </c>
    </row>
    <row r="52" spans="1:5" x14ac:dyDescent="0.25">
      <c r="B52" s="12" t="s">
        <v>123</v>
      </c>
      <c r="C52" s="83">
        <f>C49/D13</f>
        <v>5.1272417908955689E-2</v>
      </c>
    </row>
    <row r="53" spans="1:5" x14ac:dyDescent="0.25">
      <c r="B53" s="12" t="s">
        <v>122</v>
      </c>
      <c r="C53" s="83">
        <f>C35+C52</f>
        <v>1.4011749178797641</v>
      </c>
      <c r="D53" s="6" t="s">
        <v>121</v>
      </c>
    </row>
    <row r="54" spans="1:5" x14ac:dyDescent="0.25">
      <c r="B54" s="7"/>
    </row>
    <row r="55" spans="1:5" x14ac:dyDescent="0.25">
      <c r="B55" s="84" t="s">
        <v>120</v>
      </c>
    </row>
    <row r="56" spans="1:5" x14ac:dyDescent="0.25">
      <c r="B56" s="12" t="s">
        <v>119</v>
      </c>
      <c r="C56" s="83">
        <f>C15</f>
        <v>10.321300000000001</v>
      </c>
    </row>
    <row r="57" spans="1:5" x14ac:dyDescent="0.25">
      <c r="B57" s="12" t="s">
        <v>118</v>
      </c>
      <c r="C57" s="83">
        <f>C53*D15</f>
        <v>9.9250824133095215</v>
      </c>
    </row>
    <row r="58" spans="1:5" x14ac:dyDescent="0.25">
      <c r="B58" s="12" t="s">
        <v>117</v>
      </c>
      <c r="C58" s="83">
        <f>C56-C57</f>
        <v>0.39621758669047935</v>
      </c>
    </row>
    <row r="59" spans="1:5" x14ac:dyDescent="0.25">
      <c r="B59" s="12" t="s">
        <v>116</v>
      </c>
      <c r="C59" s="83">
        <f>C58*50000/1000</f>
        <v>19.810879334523968</v>
      </c>
    </row>
    <row r="60" spans="1:5" ht="15.75" thickBot="1" x14ac:dyDescent="0.3">
      <c r="B60" s="12"/>
    </row>
    <row r="61" spans="1:5" ht="15.75" thickBot="1" x14ac:dyDescent="0.3">
      <c r="A61" s="45" t="s">
        <v>115</v>
      </c>
      <c r="B61" s="82">
        <f>C59</f>
        <v>19.810879334523968</v>
      </c>
    </row>
    <row r="64" spans="1:5" ht="15.75" x14ac:dyDescent="0.25">
      <c r="A64" s="4" t="s">
        <v>114</v>
      </c>
      <c r="B64" s="5"/>
      <c r="C64" s="5"/>
      <c r="D64" s="5"/>
      <c r="E64" s="5"/>
    </row>
  </sheetData>
  <mergeCells count="5">
    <mergeCell ref="A3:F3"/>
    <mergeCell ref="A11:A12"/>
    <mergeCell ref="B11:B12"/>
    <mergeCell ref="C11:C12"/>
    <mergeCell ref="D11:D12"/>
  </mergeCells>
  <pageMargins left="0.7" right="0.7" top="0.75" bottom="0.75" header="0.3" footer="0.3"/>
  <pageSetup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13D16CE4023BB4BB4110DFC2802C897" ma:contentTypeVersion="12" ma:contentTypeDescription="Create a new document." ma:contentTypeScope="" ma:versionID="65b3ef4f2db57c8fd06e10d67e29a91c">
  <xsd:schema xmlns:xsd="http://www.w3.org/2001/XMLSchema" xmlns:xs="http://www.w3.org/2001/XMLSchema" xmlns:p="http://schemas.microsoft.com/office/2006/metadata/properties" xmlns:ns2="16a415e0-cbd2-494f-bd0b-9ec9526163e9" targetNamespace="http://schemas.microsoft.com/office/2006/metadata/properties" ma:root="true" ma:fieldsID="368f79d5404671231dfb7196e18a5373" ns2:_="">
    <xsd:import namespace="16a415e0-cbd2-494f-bd0b-9ec9526163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MediaServiceBillingMetadata"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a415e0-cbd2-494f-bd0b-9ec9526163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267e5f2-3cc9-4b2c-97a9-20aec386c2b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a415e0-cbd2-494f-bd0b-9ec9526163e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8CBC53B-1C74-4A89-AE6E-30203E718650}">
  <ds:schemaRefs>
    <ds:schemaRef ds:uri="http://schemas.microsoft.com/sharepoint/v3/contenttype/forms"/>
  </ds:schemaRefs>
</ds:datastoreItem>
</file>

<file path=customXml/itemProps2.xml><?xml version="1.0" encoding="utf-8"?>
<ds:datastoreItem xmlns:ds="http://schemas.openxmlformats.org/officeDocument/2006/customXml" ds:itemID="{29ABF272-82E3-49D8-97D5-6C6CC612B1B2}"/>
</file>

<file path=customXml/itemProps3.xml><?xml version="1.0" encoding="utf-8"?>
<ds:datastoreItem xmlns:ds="http://schemas.openxmlformats.org/officeDocument/2006/customXml" ds:itemID="{BC04078D-D3DA-480E-A272-09F64664C8C8}">
  <ds:schemaRefs>
    <ds:schemaRef ds:uri="http://purl.org/dc/elements/1.1/"/>
    <ds:schemaRef ds:uri="http://schemas.microsoft.com/office/2006/metadata/properties"/>
    <ds:schemaRef ds:uri="http://purl.org/dc/terms/"/>
    <ds:schemaRef ds:uri="http://schemas.openxmlformats.org/package/2006/metadata/core-properties"/>
    <ds:schemaRef ds:uri="d660b397-b6e2-4afb-9566-799993fe369d"/>
    <ds:schemaRef ds:uri="http://schemas.microsoft.com/office/2006/documentManagement/types"/>
    <ds:schemaRef ds:uri="http://schemas.microsoft.com/office/infopath/2007/PartnerControls"/>
    <ds:schemaRef ds:uri="be84907d-e188-4da1-84e7-d0ad67a7a702"/>
    <ds:schemaRef ds:uri="http://www.w3.org/XML/1998/namespace"/>
    <ds:schemaRef ds:uri="http://purl.org/dc/dcmitype/"/>
  </ds:schemaRefs>
</ds:datastoreItem>
</file>

<file path=docMetadata/LabelInfo.xml><?xml version="1.0" encoding="utf-8"?>
<clbl:labelList xmlns:clbl="http://schemas.microsoft.com/office/2020/mipLabelMetadata">
  <clbl:label id="{7b72dd6e-c27c-4639-b124-2b12953460bf}" enabled="0" method="" siteId="{7b72dd6e-c27c-4639-b124-2b12953460b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Question 3 (a)</vt:lpstr>
      <vt:lpstr>Question 4 (c)</vt:lpstr>
      <vt:lpstr>Question 5 (a)</vt:lpstr>
      <vt:lpstr>Question 5 (b)</vt:lpstr>
      <vt:lpstr>Q6 Solution</vt:lpstr>
      <vt:lpstr>Question 7 (a)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SOAUSer</dc:creator>
  <cp:lastModifiedBy>Aleshia Zionce</cp:lastModifiedBy>
  <dcterms:created xsi:type="dcterms:W3CDTF">2020-07-28T23:01:03Z</dcterms:created>
  <dcterms:modified xsi:type="dcterms:W3CDTF">2026-01-20T20:51:58Z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0x010100A13D16CE4023BB4BB4110DFC2802C897</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